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-60" windowWidth="9720" windowHeight="6135" tabRatio="849" activeTab="2"/>
  </bookViews>
  <sheets>
    <sheet name="Inv. ANTICIPO" sheetId="30" r:id="rId1"/>
    <sheet name="Acta 01 Cc235-03 " sheetId="47" r:id="rId2"/>
    <sheet name="Acta 02-FINAL 480-05" sheetId="48" r:id="rId3"/>
  </sheets>
  <definedNames>
    <definedName name="_xlnm.Print_Area" localSheetId="2">'Acta 02-FINAL 480-05'!$A$1:$L$53</definedName>
    <definedName name="_xlnm.Print_Titles" localSheetId="1">'Acta 01 Cc235-03 '!$1:$9</definedName>
    <definedName name="_xlnm.Print_Titles" localSheetId="2">'Acta 02-FINAL 480-05'!$1:$7</definedName>
  </definedNames>
  <calcPr calcId="125725"/>
</workbook>
</file>

<file path=xl/calcChain.xml><?xml version="1.0" encoding="utf-8"?>
<calcChain xmlns="http://schemas.openxmlformats.org/spreadsheetml/2006/main">
  <c r="L40" i="48"/>
  <c r="F13"/>
  <c r="F14"/>
  <c r="F15"/>
  <c r="F16"/>
  <c r="F17"/>
  <c r="F18"/>
  <c r="F19"/>
  <c r="F20"/>
  <c r="F21"/>
  <c r="F23"/>
  <c r="F24" s="1"/>
  <c r="F25" s="1"/>
  <c r="J13"/>
  <c r="J14"/>
  <c r="J15"/>
  <c r="J16"/>
  <c r="J17"/>
  <c r="J18"/>
  <c r="I19"/>
  <c r="J19"/>
  <c r="I20"/>
  <c r="J20"/>
  <c r="J21"/>
  <c r="J23"/>
  <c r="J24" s="1"/>
  <c r="J25" s="1"/>
  <c r="K21"/>
  <c r="L21" s="1"/>
  <c r="K13"/>
  <c r="L13" s="1"/>
  <c r="K14"/>
  <c r="L14" s="1"/>
  <c r="K15"/>
  <c r="L15" s="1"/>
  <c r="K16"/>
  <c r="L16" s="1"/>
  <c r="K17"/>
  <c r="L17" s="1"/>
  <c r="K18"/>
  <c r="L18" s="1"/>
  <c r="K19"/>
  <c r="L19" s="1"/>
  <c r="I11" i="47"/>
  <c r="J11" s="1"/>
  <c r="I12"/>
  <c r="J12" s="1"/>
  <c r="J13"/>
  <c r="J14"/>
  <c r="I15"/>
  <c r="J15" s="1"/>
  <c r="J16"/>
  <c r="I17"/>
  <c r="J17" s="1"/>
  <c r="J18"/>
  <c r="I19"/>
  <c r="J19"/>
  <c r="J20"/>
  <c r="J21"/>
  <c r="I22"/>
  <c r="J22"/>
  <c r="I23"/>
  <c r="J23"/>
  <c r="J24"/>
  <c r="J25"/>
  <c r="I26"/>
  <c r="J26"/>
  <c r="J27"/>
  <c r="J28"/>
  <c r="I29"/>
  <c r="J29"/>
  <c r="J30"/>
  <c r="I42"/>
  <c r="I31" s="1"/>
  <c r="J38"/>
  <c r="I39"/>
  <c r="J39" s="1"/>
  <c r="I40"/>
  <c r="J40" s="1"/>
  <c r="I41"/>
  <c r="J41" s="1"/>
  <c r="E42"/>
  <c r="J42" s="1"/>
  <c r="I43"/>
  <c r="J43" s="1"/>
  <c r="I44"/>
  <c r="J44" s="1"/>
  <c r="I45"/>
  <c r="J45" s="1"/>
  <c r="J46"/>
  <c r="I47"/>
  <c r="J47" s="1"/>
  <c r="E48"/>
  <c r="J48" s="1"/>
  <c r="I49"/>
  <c r="J49" s="1"/>
  <c r="J50"/>
  <c r="J51"/>
  <c r="J52"/>
  <c r="K52"/>
  <c r="L52"/>
  <c r="K51"/>
  <c r="L51"/>
  <c r="K50"/>
  <c r="L50"/>
  <c r="G52"/>
  <c r="H52"/>
  <c r="G51"/>
  <c r="H51"/>
  <c r="G50"/>
  <c r="H50"/>
  <c r="T50"/>
  <c r="T51"/>
  <c r="U51" s="1"/>
  <c r="V50"/>
  <c r="K38"/>
  <c r="L38" s="1"/>
  <c r="K39"/>
  <c r="L39" s="1"/>
  <c r="K40"/>
  <c r="L40" s="1"/>
  <c r="K41"/>
  <c r="L41" s="1"/>
  <c r="K43"/>
  <c r="L43" s="1"/>
  <c r="K44"/>
  <c r="L44" s="1"/>
  <c r="K45"/>
  <c r="L45" s="1"/>
  <c r="K46"/>
  <c r="L46" s="1"/>
  <c r="K48"/>
  <c r="L48" s="1"/>
  <c r="K22"/>
  <c r="L22" s="1"/>
  <c r="K23"/>
  <c r="L23" s="1"/>
  <c r="K11"/>
  <c r="L11" s="1"/>
  <c r="K12"/>
  <c r="L12" s="1"/>
  <c r="K14"/>
  <c r="L14" s="1"/>
  <c r="K15"/>
  <c r="L15" s="1"/>
  <c r="K17"/>
  <c r="L17" s="1"/>
  <c r="K18"/>
  <c r="L18" s="1"/>
  <c r="K19"/>
  <c r="L19" s="1"/>
  <c r="K20"/>
  <c r="L20" s="1"/>
  <c r="K25"/>
  <c r="L25" s="1"/>
  <c r="K26"/>
  <c r="L26" s="1"/>
  <c r="K28"/>
  <c r="L28" s="1"/>
  <c r="K29"/>
  <c r="L29" s="1"/>
  <c r="F11"/>
  <c r="F12"/>
  <c r="F14"/>
  <c r="F15"/>
  <c r="F17"/>
  <c r="F18"/>
  <c r="F19"/>
  <c r="F20"/>
  <c r="F22"/>
  <c r="F23"/>
  <c r="F25"/>
  <c r="F26"/>
  <c r="F28"/>
  <c r="F29"/>
  <c r="F31"/>
  <c r="U50"/>
  <c r="T52"/>
  <c r="U52" s="1"/>
  <c r="T23"/>
  <c r="T28" s="1"/>
  <c r="U28" s="1"/>
  <c r="G38"/>
  <c r="H38" s="1"/>
  <c r="G39"/>
  <c r="H39" s="1"/>
  <c r="G40"/>
  <c r="H40" s="1"/>
  <c r="G41"/>
  <c r="H41" s="1"/>
  <c r="G43"/>
  <c r="H43" s="1"/>
  <c r="G44"/>
  <c r="H44" s="1"/>
  <c r="G45"/>
  <c r="H45" s="1"/>
  <c r="G46"/>
  <c r="H46" s="1"/>
  <c r="G48"/>
  <c r="H48" s="1"/>
  <c r="S17"/>
  <c r="U17" s="1"/>
  <c r="S11"/>
  <c r="U11" s="1"/>
  <c r="U23"/>
  <c r="T49"/>
  <c r="U49" s="1"/>
  <c r="G11"/>
  <c r="H11" s="1"/>
  <c r="G12"/>
  <c r="H12" s="1"/>
  <c r="G14"/>
  <c r="H14" s="1"/>
  <c r="G15"/>
  <c r="H15" s="1"/>
  <c r="G17"/>
  <c r="H17" s="1"/>
  <c r="G18"/>
  <c r="H18" s="1"/>
  <c r="G19"/>
  <c r="H19" s="1"/>
  <c r="G20"/>
  <c r="H20" s="1"/>
  <c r="G22"/>
  <c r="H22" s="1"/>
  <c r="G23"/>
  <c r="H23" s="1"/>
  <c r="G25"/>
  <c r="H25" s="1"/>
  <c r="G26"/>
  <c r="H26" s="1"/>
  <c r="G28"/>
  <c r="H28" s="1"/>
  <c r="G29"/>
  <c r="H29" s="1"/>
  <c r="A39"/>
  <c r="A40" s="1"/>
  <c r="A41" s="1"/>
  <c r="A42" s="1"/>
  <c r="A43" s="1"/>
  <c r="A44" s="1"/>
  <c r="A45" s="1"/>
  <c r="A46" s="1"/>
  <c r="A47" s="1"/>
  <c r="A48" s="1"/>
  <c r="A49" s="1"/>
  <c r="D36"/>
  <c r="A13"/>
  <c r="A16"/>
  <c r="A21" s="1"/>
  <c r="A14"/>
  <c r="A15" s="1"/>
  <c r="A11"/>
  <c r="A12" s="1"/>
  <c r="A17" l="1"/>
  <c r="A18" s="1"/>
  <c r="A19" s="1"/>
  <c r="A20" s="1"/>
  <c r="K20" i="48"/>
  <c r="L20" s="1"/>
  <c r="F32" i="47"/>
  <c r="F33" s="1"/>
  <c r="A24"/>
  <c r="A22"/>
  <c r="A23" s="1"/>
  <c r="F34"/>
  <c r="F35"/>
  <c r="K31"/>
  <c r="J31"/>
  <c r="L41" i="48"/>
  <c r="L42"/>
  <c r="H32"/>
  <c r="C31"/>
  <c r="C32" s="1"/>
  <c r="C34" s="1"/>
  <c r="E37"/>
  <c r="E41" s="1"/>
  <c r="E28"/>
  <c r="K36"/>
  <c r="L23"/>
  <c r="U55" i="47"/>
  <c r="J53"/>
  <c r="J32"/>
  <c r="K49"/>
  <c r="K47"/>
  <c r="K42"/>
  <c r="F36" l="1"/>
  <c r="G47"/>
  <c r="H47" s="1"/>
  <c r="L47"/>
  <c r="J34"/>
  <c r="J33"/>
  <c r="J35"/>
  <c r="L39" i="48"/>
  <c r="K40"/>
  <c r="G31" i="47"/>
  <c r="H31" s="1"/>
  <c r="H32" s="1"/>
  <c r="L31"/>
  <c r="L32" s="1"/>
  <c r="E64"/>
  <c r="F55"/>
  <c r="A25"/>
  <c r="A26" s="1"/>
  <c r="A27"/>
  <c r="L42"/>
  <c r="G42"/>
  <c r="H42" s="1"/>
  <c r="G49"/>
  <c r="H49" s="1"/>
  <c r="L49"/>
  <c r="L24" i="48"/>
  <c r="L25" s="1"/>
  <c r="H28"/>
  <c r="E29"/>
  <c r="E34"/>
  <c r="L53" i="47" l="1"/>
  <c r="J36"/>
  <c r="E68"/>
  <c r="J55"/>
  <c r="H33" i="48"/>
  <c r="E43"/>
  <c r="E42"/>
  <c r="E44" s="1"/>
  <c r="L35"/>
  <c r="H33" i="47"/>
  <c r="H35"/>
  <c r="H34"/>
  <c r="A30"/>
  <c r="A31" s="1"/>
  <c r="A28"/>
  <c r="A29" s="1"/>
  <c r="K58"/>
  <c r="I58"/>
  <c r="E58"/>
  <c r="E65"/>
  <c r="E67" s="1"/>
  <c r="E70" s="1"/>
  <c r="L33"/>
  <c r="L35"/>
  <c r="L34"/>
  <c r="H53"/>
  <c r="L36" l="1"/>
  <c r="L55" s="1"/>
  <c r="L69" s="1"/>
  <c r="H36"/>
  <c r="H55" s="1"/>
  <c r="V55"/>
  <c r="M55"/>
  <c r="I61"/>
  <c r="E61"/>
  <c r="K61"/>
  <c r="L65"/>
  <c r="E69" s="1"/>
  <c r="H59"/>
  <c r="L66"/>
  <c r="L64"/>
  <c r="L67" s="1"/>
  <c r="L59"/>
  <c r="C59"/>
  <c r="H60" l="1"/>
  <c r="H61" s="1"/>
  <c r="L60"/>
  <c r="L61" s="1"/>
  <c r="C60"/>
  <c r="C61" s="1"/>
</calcChain>
</file>

<file path=xl/sharedStrings.xml><?xml version="1.0" encoding="utf-8"?>
<sst xmlns="http://schemas.openxmlformats.org/spreadsheetml/2006/main" count="288" uniqueCount="197">
  <si>
    <t>Hierro, corte, fleje y amarre</t>
  </si>
  <si>
    <t>CUBIERTA</t>
  </si>
  <si>
    <t>PINTURAS</t>
  </si>
  <si>
    <t>Entrega de anticipo:</t>
  </si>
  <si>
    <t>del 8 de Septiembre de 2.003</t>
  </si>
  <si>
    <t>OBJETO: Construcción, mejoramiento y mantenimiento Escuela La Yunga</t>
  </si>
  <si>
    <t xml:space="preserve">VALOR CONTRATO : </t>
  </si>
  <si>
    <t>$9.415.000,oo</t>
  </si>
  <si>
    <t>INTERVENTORA : Ingeniera CECILIA GUZMAN HOYOS</t>
  </si>
  <si>
    <t>RESERVA PRESUPUESTAL No. :2759  del 29.08.03</t>
  </si>
  <si>
    <t>REGISTRO PRESUPUESTAL No: 2759  del 01.10.03</t>
  </si>
  <si>
    <r>
      <t xml:space="preserve">CONTRATISTA:Ingeniero CARLOS </t>
    </r>
    <r>
      <rPr>
        <sz val="9"/>
        <rFont val="Arial Narrow"/>
        <family val="2"/>
      </rPr>
      <t>ENRIQUE</t>
    </r>
    <r>
      <rPr>
        <sz val="9"/>
        <rFont val="Arial"/>
        <family val="2"/>
      </rPr>
      <t xml:space="preserve"> CONSTAIN </t>
    </r>
    <r>
      <rPr>
        <sz val="9"/>
        <rFont val="Arial Narrow"/>
        <family val="2"/>
      </rPr>
      <t>LONDOÑO</t>
    </r>
  </si>
  <si>
    <t>27.10.03</t>
  </si>
  <si>
    <t>de la entrega efectiva del anticipo.</t>
  </si>
  <si>
    <t xml:space="preserve">ACTA DE RECIBO PARCIAL DE OBRA </t>
  </si>
  <si>
    <t xml:space="preserve">No. 01 </t>
  </si>
  <si>
    <t>Demoliciòn enchape mesòn</t>
  </si>
  <si>
    <r>
      <t>Piso en baldosa de cemento, i</t>
    </r>
    <r>
      <rPr>
        <i/>
        <sz val="9"/>
        <rFont val="Arial"/>
        <family val="2"/>
      </rPr>
      <t>ncluye mortero</t>
    </r>
    <r>
      <rPr>
        <i/>
        <sz val="10"/>
        <rFont val="Arial"/>
        <family val="2"/>
      </rPr>
      <t>1:4</t>
    </r>
  </si>
  <si>
    <t xml:space="preserve">VALORES TOTALES </t>
  </si>
  <si>
    <t>SON: DOS MILLONES NOVECIENTOS TREINTA Y TRES MIL QUINIENTOS OCHENTA Y SEIS PESOS</t>
  </si>
  <si>
    <t>SON: DOS MILLONES OCHENTA Y UN MIL TREINTA Y SEIS PESOS</t>
  </si>
  <si>
    <r>
      <t xml:space="preserve">Dos ventanas de acceso principal + 1 de cocina  </t>
    </r>
    <r>
      <rPr>
        <sz val="10"/>
        <color indexed="62"/>
        <rFont val="Arial"/>
        <family val="2"/>
      </rPr>
      <t>SE AUMENTO AREA DE MARCOS</t>
    </r>
    <r>
      <rPr>
        <sz val="10"/>
        <color indexed="18"/>
        <rFont val="Arial"/>
        <family val="2"/>
      </rPr>
      <t xml:space="preserve"> </t>
    </r>
  </si>
  <si>
    <t>1 puerta de dos abras para acceso principal hacia cocina. SE AUMENTO AREA DE MARCOS.</t>
  </si>
  <si>
    <t>FECHAS DEL CONTRATO:</t>
  </si>
  <si>
    <t>FIRMA:</t>
  </si>
  <si>
    <t>SECRETARIA DE INFRAESTRUCTURA</t>
  </si>
  <si>
    <t>Guardaescoba en cerámica</t>
  </si>
  <si>
    <t>ALCALDIA DE POPAYAN</t>
  </si>
  <si>
    <t>CONDICIONES ORIGINALES</t>
  </si>
  <si>
    <t>MODIFICACIONES</t>
  </si>
  <si>
    <t>OBRA EJECUTADA</t>
  </si>
  <si>
    <t>PRESENTE ACTA</t>
  </si>
  <si>
    <t>ACUMULADO</t>
  </si>
  <si>
    <t>ITEM</t>
  </si>
  <si>
    <t>DESCRIPCION DE LA OBRA</t>
  </si>
  <si>
    <t>UND.</t>
  </si>
  <si>
    <t>CANT.</t>
  </si>
  <si>
    <t>VALOR UNT.</t>
  </si>
  <si>
    <t>VALOR TOTAL</t>
  </si>
  <si>
    <t>CANTID.</t>
  </si>
  <si>
    <t xml:space="preserve">VALOR TOTAL </t>
  </si>
  <si>
    <t>VALOR</t>
  </si>
  <si>
    <t>CANTIDAD</t>
  </si>
  <si>
    <t>PRELIMINARES</t>
  </si>
  <si>
    <t>ml</t>
  </si>
  <si>
    <t>kg</t>
  </si>
  <si>
    <t>Und</t>
  </si>
  <si>
    <t>MAMPOSTERIA</t>
  </si>
  <si>
    <t xml:space="preserve">VALOR PROPUESTA             </t>
  </si>
  <si>
    <t>VALOR OBRA EJECUTADA</t>
  </si>
  <si>
    <t>$</t>
  </si>
  <si>
    <t>VALOR CONTRATO PPAL</t>
  </si>
  <si>
    <t>VALOR CONTRATO ADICIONAL</t>
  </si>
  <si>
    <t>VALOR TOTAL CONTRATADO</t>
  </si>
  <si>
    <t xml:space="preserve">VALOR EJECUTADO          </t>
  </si>
  <si>
    <t>VALOR POR EJECUTAR</t>
  </si>
  <si>
    <t>VALOR CONTRATO PPAL                                            $</t>
  </si>
  <si>
    <t>VALOR EJECUTADO                                                     $</t>
  </si>
  <si>
    <t>SALDO POR EJECUTAR                                                $</t>
  </si>
  <si>
    <t>SUMAS IGUALES</t>
  </si>
  <si>
    <t>CECILIA GUZMAN HOYOS</t>
  </si>
  <si>
    <t>FIRMA</t>
  </si>
  <si>
    <t>LA PRESENTE ACTA NO EXIME AL CONTRATISTA DE REPARAR , ENMENDAR LAS OBRAS AQUÍ CONTEMPLADAS O RESARCIR LOS DAÑOS  POR CAUSAS QUE LE SEAN IMPUTADAS AL CONTRATISTA Y QUEDA SUJETA  EN UN TODO A LA LIQUIDACION DEL CONTRATO</t>
  </si>
  <si>
    <t>SALDO A FAVOR DEL MUNICIPIO</t>
  </si>
  <si>
    <r>
      <t>m</t>
    </r>
    <r>
      <rPr>
        <vertAlign val="superscript"/>
        <sz val="8"/>
        <rFont val="Arial"/>
        <family val="2"/>
      </rPr>
      <t>2</t>
    </r>
  </si>
  <si>
    <t>Cecilia Guzmán Hoyos</t>
  </si>
  <si>
    <t>2/2.</t>
  </si>
  <si>
    <t>Iniciación:</t>
  </si>
  <si>
    <t>Terminación:</t>
  </si>
  <si>
    <t>CONTRATO DE OBRA PUBLICA No. 235</t>
  </si>
  <si>
    <t>VALOR A PAGAR  PRESENTE ACTA - No. 01</t>
  </si>
  <si>
    <r>
      <t xml:space="preserve">AMORTIZACIÓN </t>
    </r>
    <r>
      <rPr>
        <sz val="8"/>
        <rFont val="Arial"/>
        <family val="2"/>
      </rPr>
      <t>DE ANTICIPO -50%</t>
    </r>
  </si>
  <si>
    <t>DESCUENTO RETEGARANTIA EN  ACTA - No. 01</t>
  </si>
  <si>
    <t xml:space="preserve">INTERVENTORA: </t>
  </si>
  <si>
    <t>03.10.03</t>
  </si>
  <si>
    <t>14.01.04</t>
  </si>
  <si>
    <t xml:space="preserve">PLAZO:Cuarenta y cinco (45) días, a partir </t>
  </si>
  <si>
    <t xml:space="preserve">Incluye Acta de Precios NO Previstos y/o Adicionales </t>
  </si>
  <si>
    <t>FECHA: 12 DE DICIEMBRE DE 2003</t>
  </si>
  <si>
    <t>TOTAL  COSTO DIRECTO</t>
  </si>
  <si>
    <t>ADMINISTRACIÒN (15%)</t>
  </si>
  <si>
    <t>IMPREVISTOS (5%)</t>
  </si>
  <si>
    <t>UTILIDAD (5%)</t>
  </si>
  <si>
    <t xml:space="preserve">COSTO TOTAL </t>
  </si>
  <si>
    <t>BALANCE  A LA FECHA:</t>
  </si>
  <si>
    <t xml:space="preserve">SALDO AMORTIZACION  ANTICIPO </t>
  </si>
  <si>
    <t>CONTRATISTA: CARLOS ENRIQUE CONSTAIN LONDOÑO</t>
  </si>
  <si>
    <t>Desmonte de puertas y ventanas</t>
  </si>
  <si>
    <t>Demoliciòn de muros</t>
  </si>
  <si>
    <t>ESTRUCTURAS</t>
  </si>
  <si>
    <t>Vigas de amarre de 0,12x0,20 en concreto clase D (21 Mpa)</t>
  </si>
  <si>
    <t>Enchape en cerámica piso-pared blanco de 20,5x20,5 cms, incluye repello.</t>
  </si>
  <si>
    <t>Cerámica sobre piso de 30x30 tráfico 5</t>
  </si>
  <si>
    <t>Lavaplatos de 1,20 metros en acero con pozuelo y escurridera.</t>
  </si>
  <si>
    <t>CARPINTERIA DE MADERA Y METALICA</t>
  </si>
  <si>
    <t>Suministro e instalación de ventana batiente incluye reja horizontal.</t>
  </si>
  <si>
    <t>Suministro e instalación de puerta metálica calibre 20 acanalado con cerradura.</t>
  </si>
  <si>
    <t>Cielo raso con reutilización de teja plana.</t>
  </si>
  <si>
    <t>Cielo raso con placa plana.</t>
  </si>
  <si>
    <t>Pintura con esmalte en puertas y ventanas</t>
  </si>
  <si>
    <t>Resane y pintura con vinilo sobre muro estucado.</t>
  </si>
  <si>
    <t>ASEO GENERAL</t>
  </si>
  <si>
    <t>Aseo general con retiro de sobrantes.</t>
  </si>
  <si>
    <t>ITEMS NO PREVISTOS Y/O ADICIONALES</t>
  </si>
  <si>
    <t>Demoliciòn hornilla de leña de ladrillo y concreto</t>
  </si>
  <si>
    <t>Demoliciòn de piso afinado/primario en concreto</t>
  </si>
  <si>
    <t>Demoliciòn de cielo raso en placa plana</t>
  </si>
  <si>
    <t>Muros en ladrillo común en soga</t>
  </si>
  <si>
    <t>Repello de muros en mortero 1:3</t>
  </si>
  <si>
    <t>Mesón  en concreto 17,5 Mpa e=8-10 cm</t>
  </si>
  <si>
    <t>Suministro e instalación de lavaplatos de 1,00 metro en acero con pozuelo, escurridera y grifo, incluye punto hidráulico</t>
  </si>
  <si>
    <t>Pintura de muros en vinilo, dos manos</t>
  </si>
  <si>
    <t>VALOR ANTICIPO</t>
  </si>
  <si>
    <t>SALDO POR AMORTIZAR</t>
  </si>
  <si>
    <t>SUMAS IGUALES  $</t>
  </si>
  <si>
    <t>RETEGARANTIA 10%</t>
  </si>
  <si>
    <t>DESCUENTO ACTA 01</t>
  </si>
  <si>
    <t xml:space="preserve">  ___________</t>
  </si>
  <si>
    <t xml:space="preserve">  ____________</t>
  </si>
  <si>
    <t>SALDO  A DESCONTAR</t>
  </si>
  <si>
    <t>AMORTIZACION  EN ACTA 01</t>
  </si>
  <si>
    <t>Puertas  y ventanas existentes en madera y guadua</t>
  </si>
  <si>
    <t xml:space="preserve">Falta puerta de cocina </t>
  </si>
  <si>
    <t>Muro ventana cocina y vanos para hacer viga en acceso principal</t>
  </si>
  <si>
    <t>Completa encima de puerta y ventanas de acceso principal</t>
  </si>
  <si>
    <t>completo</t>
  </si>
  <si>
    <t xml:space="preserve">COCINA.Enchape de meson - lavaplatos+paredes de mesòn+piso </t>
  </si>
  <si>
    <t>COMPLETA, COCINA: ALREDEDOR DE MUROS Y MESONES</t>
  </si>
  <si>
    <t>Falta puerta de cocina de 0,80x2,16</t>
  </si>
  <si>
    <t>ACTA No.  02 y final</t>
  </si>
  <si>
    <t>ACTA No. 01</t>
  </si>
  <si>
    <t>COMPLETO : COCINA</t>
  </si>
  <si>
    <t>COMPLETA: SALON</t>
  </si>
  <si>
    <t>Completa : Area de salón, cuarto adyacente y cocina</t>
  </si>
  <si>
    <t>Completo de salon  de clases y adyacente</t>
  </si>
  <si>
    <t>Completo sobre viga de acceso principal hacia cocina</t>
  </si>
  <si>
    <t>Completo sobre viga de acceso principal hacia cocina, 2 caras</t>
  </si>
  <si>
    <t>Completo:Parte nueva donde existìa hornilla que se demoliò</t>
  </si>
  <si>
    <t>Completo en cocina</t>
  </si>
  <si>
    <t>Completa la cocina</t>
  </si>
  <si>
    <t>Falta muros de acceso  principal hacia cocina = repello</t>
  </si>
  <si>
    <t>VALOR IMPREVISTOS Y/O ADICIONALES</t>
  </si>
  <si>
    <t>Falta de meson antiguo frente a nuevo</t>
  </si>
  <si>
    <t>Falta reja de seguridad en varilla 1/2", hueco de12x12 cm</t>
  </si>
  <si>
    <t>Reja central de h=0.4m para acceso principal exterior.cocina, incluye resanes</t>
  </si>
  <si>
    <t>FALTA: Puertas y Ventanas, aquí se incluye la de cocina+reja accesp ppal encima de viga y reja de seguridad</t>
  </si>
  <si>
    <t>Falta demoliciòn cielo raso ala de cocina exterior</t>
  </si>
  <si>
    <t>Cielo raso en placa plana - incluye estructura en madera</t>
  </si>
  <si>
    <t>Guardaescoba en baldosa de cemento</t>
  </si>
  <si>
    <t>Y/O SALDOS</t>
  </si>
  <si>
    <t>M2</t>
  </si>
  <si>
    <t>M3</t>
  </si>
  <si>
    <t>COSTO DIRECTO</t>
  </si>
  <si>
    <t xml:space="preserve">OBJETO: </t>
  </si>
  <si>
    <t>AMORTIZACIÓN DE ANTICIPO -50% DE LA OBRA EJECUTADA</t>
  </si>
  <si>
    <t>SALDO RETEGARANTIA</t>
  </si>
  <si>
    <t>RETEGARANTÍA 10% PRESENTE ACTA 01</t>
  </si>
  <si>
    <t xml:space="preserve">CONTRATO DE OBRA PUBLICA </t>
  </si>
  <si>
    <t>No. 316 de 2008</t>
  </si>
  <si>
    <t>MANTENIMIENTO Y/O RECUPERACION DE LA CARRERA 17 DESDE LA CALLE 18N HACIA LA CALLE 20N; CALLE 20N DESDE LA CARRERA 17 HACIA LA CARRERA 15; RETORNOS DE LA CARRERA 15 DESDE LA CARRERA 9 HACIA LA CALLE 18N; CARRERA 11 DESDE LA CALLE 8N HACIA LA CALLE 18N; CALLE 11N CON CARRERA 9; CALLE 19N DESDE LA CARRERA 9 HACIA LA CARRERA 7, CALLE 17N No. 8-48 EN EL BARRIO EL RECUERDO.</t>
  </si>
  <si>
    <t>VALOR CONTRATO :</t>
  </si>
  <si>
    <t xml:space="preserve"> $ 20.614.522</t>
  </si>
  <si>
    <t>DISPONIBILIDAD PRESUPUESTAL No :280631 DE 16 DE ABRIL DE 2008</t>
  </si>
  <si>
    <t xml:space="preserve">REGISTRO PRESUPUESTAL No: 281324 DE 23 DE MAYO DE 2008 </t>
  </si>
  <si>
    <t>DEMOLICION DE CARPETA ASFALTICA, INCLUYE RETIRO DE SOBRANTES</t>
  </si>
  <si>
    <t>EXCAVACION A MANO EN LA ESTRUCTURA DEL PAVIMENTO, INCLUYE RETIRO DE SOBRANTES</t>
  </si>
  <si>
    <t>EXCAVACION A MAQUINA EN LA ESTRUCTURA DEL PAVIMENTO, INCLUYE RETIRO DE SOBRANTES</t>
  </si>
  <si>
    <t>COMPACTACION DE SUBRASANTE</t>
  </si>
  <si>
    <t xml:space="preserve">SUMINISTRO RIEGO Y COMPACTACION DE MATERIAL DE MEJORAMIENTO DE SUBRASANTE </t>
  </si>
  <si>
    <t>SUMINISTRO EXTENSION Y COMPACTACION DE SUBBASE GRANULAR TRITURADA ESTABILIZADA CON CEMENTO PORTLAND</t>
  </si>
  <si>
    <t>SUMINISTRO EXTENSION Y COMPACTACION DE BASE GRANULAR TRITURADA</t>
  </si>
  <si>
    <t>IMPRIMACION, INCLUYE SUMISTRO DE EMULSION ASFALTICA TIPO CRL-1</t>
  </si>
  <si>
    <t>SUMINISTRO EXTENSION Y COMPACTACION DE MEZCLA ASFALTICA DENSA EN CALIENTE TIPO MDC-2</t>
  </si>
  <si>
    <t>COSTO INDIRECTO A U I  30%</t>
  </si>
  <si>
    <t xml:space="preserve">LA PRESENTE ACTA NO EXIME AL CONTRATISTA DE REPARAR , Y/O ENMENDAR LAS OBRAS AQUÍ CONTEMPLADAS O RESARCIR LOS DAÑOS  POR CAUSAS QUE LE SEAN IMPUTADAS AL     </t>
  </si>
  <si>
    <t>CONTRATISTA Y QUEDA SUJETA EN UN TODO A LA LIQUIDACION DEL CONTRATO.</t>
  </si>
  <si>
    <t>VALOR EJECUTADO ACTA 01</t>
  </si>
  <si>
    <t>VALOR TOTAL EJECUTADO</t>
  </si>
  <si>
    <t>AMORTIZACION  EN ACTA 02</t>
  </si>
  <si>
    <t xml:space="preserve">VALOR A PAGAR  PRESENTE ACTA No. 02 Y FINAL </t>
  </si>
  <si>
    <t>RETEGARANTÍA 10% PRESENTE ACTA 02</t>
  </si>
  <si>
    <t>SON: UN MILLON NOVENTA Y TRES MIL OCHENTA Y CUATRO PESOS  M/CTE</t>
  </si>
  <si>
    <t>Suspension 1</t>
  </si>
  <si>
    <t>Reinicio 1</t>
  </si>
  <si>
    <t>Suspension 2</t>
  </si>
  <si>
    <t>Reinicio 2</t>
  </si>
  <si>
    <t>PLAZO: 30 dias calendario</t>
  </si>
  <si>
    <t>Suspension 3</t>
  </si>
  <si>
    <t>Reinicio 3</t>
  </si>
  <si>
    <t xml:space="preserve">CONTRATISTA: </t>
  </si>
  <si>
    <t xml:space="preserve">INTERVENTOR : </t>
  </si>
  <si>
    <t>14-JULIO DE 2008</t>
  </si>
  <si>
    <t xml:space="preserve">ACTA DE RECIBO DE OBRA </t>
  </si>
  <si>
    <t xml:space="preserve">PARCIAL No. 02 Y FINAL. </t>
  </si>
  <si>
    <t>VALOR EJECUTADO ACTA 02 Y FINAL                                                $</t>
  </si>
  <si>
    <t xml:space="preserve">INTERVENTOR: </t>
  </si>
  <si>
    <t xml:space="preserve">RETEGARANTIA 10% DEL VALOR TOTAL </t>
  </si>
</sst>
</file>

<file path=xl/styles.xml><?xml version="1.0" encoding="utf-8"?>
<styleSheet xmlns="http://schemas.openxmlformats.org/spreadsheetml/2006/main">
  <numFmts count="8">
    <numFmt numFmtId="164" formatCode="_ * #,##0.00_ ;_ * \-#,##0.00_ ;_ * &quot;-&quot;??_ ;_ @_ "/>
    <numFmt numFmtId="165" formatCode="_-* #,##0\ _P_t_s_-;\-* #,##0\ _P_t_s_-;_-* &quot;-&quot;\ _P_t_s_-;_-@_-"/>
    <numFmt numFmtId="166" formatCode="_-* #,##0.00\ _P_t_s_-;\-* #,##0.00\ _P_t_s_-;_-* &quot;-&quot;??\ _P_t_s_-;_-@_-"/>
    <numFmt numFmtId="167" formatCode="_-* #,##0.00\ _P_t_s_-;\-* #,##0.00\ _P_t_s_-;_-* &quot;-&quot;\ _P_t_s_-;_-@_-"/>
    <numFmt numFmtId="168" formatCode="_-* #,##0.0\ _P_t_s_-;\-* #,##0.0\ _P_t_s_-;_-* &quot;-&quot;??\ _P_t_s_-;_-@_-"/>
    <numFmt numFmtId="169" formatCode="_-* #,##0\ _P_t_s_-;\-* #,##0\ _P_t_s_-;_-* &quot;-&quot;??\ _P_t_s_-;_-@_-"/>
    <numFmt numFmtId="170" formatCode="#,##0.0"/>
    <numFmt numFmtId="171" formatCode="&quot;$&quot;\ #,##0"/>
  </numFmts>
  <fonts count="43">
    <font>
      <sz val="10"/>
      <name val="Arial"/>
    </font>
    <font>
      <sz val="10"/>
      <name val="Arial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</font>
    <font>
      <sz val="6"/>
      <name val="Arial Narrow"/>
      <family val="2"/>
    </font>
    <font>
      <b/>
      <sz val="10"/>
      <name val="Arial"/>
      <family val="2"/>
    </font>
    <font>
      <sz val="9"/>
      <name val="Garamond"/>
      <family val="1"/>
    </font>
    <font>
      <b/>
      <sz val="9"/>
      <name val="Arial Narrow"/>
      <family val="2"/>
    </font>
    <font>
      <sz val="9"/>
      <name val="Comic Sans MS"/>
      <family val="4"/>
    </font>
    <font>
      <sz val="10"/>
      <name val="Arial"/>
      <family val="2"/>
    </font>
    <font>
      <b/>
      <sz val="7"/>
      <name val="Arial Narrow"/>
      <family val="2"/>
    </font>
    <font>
      <sz val="9"/>
      <name val="Arial Narrow"/>
      <family val="2"/>
    </font>
    <font>
      <b/>
      <sz val="10"/>
      <name val="Arial Narrow"/>
      <family val="2"/>
    </font>
    <font>
      <sz val="7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b/>
      <i/>
      <sz val="9"/>
      <name val="Arial Narrow"/>
      <family val="2"/>
    </font>
    <font>
      <b/>
      <sz val="11"/>
      <name val="Arial"/>
      <family val="2"/>
    </font>
    <font>
      <sz val="6"/>
      <name val="Arial"/>
      <family val="2"/>
    </font>
    <font>
      <b/>
      <sz val="6"/>
      <name val="Arial Narrow"/>
      <family val="2"/>
    </font>
    <font>
      <u val="singleAccounting"/>
      <sz val="8"/>
      <name val="Arial"/>
      <family val="2"/>
    </font>
    <font>
      <b/>
      <u val="singleAccounting"/>
      <sz val="8"/>
      <name val="Arial"/>
      <family val="2"/>
    </font>
    <font>
      <i/>
      <sz val="9"/>
      <name val="Arial"/>
      <family val="2"/>
    </font>
    <font>
      <sz val="11"/>
      <name val="Arial"/>
      <family val="2"/>
    </font>
    <font>
      <sz val="8"/>
      <name val="Arial"/>
    </font>
    <font>
      <vertAlign val="superscript"/>
      <sz val="8"/>
      <name val="Arial"/>
      <family val="2"/>
    </font>
    <font>
      <b/>
      <sz val="14"/>
      <color indexed="17"/>
      <name val="Monotype Corsiva"/>
      <family val="4"/>
    </font>
    <font>
      <sz val="8"/>
      <color indexed="17"/>
      <name val="Arial"/>
      <family val="2"/>
    </font>
    <font>
      <sz val="10"/>
      <color indexed="62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indexed="18"/>
      <name val="Arial"/>
      <family val="2"/>
    </font>
    <font>
      <sz val="10"/>
      <name val="Arial"/>
    </font>
    <font>
      <sz val="11"/>
      <name val="Arial"/>
    </font>
    <font>
      <b/>
      <sz val="10"/>
      <name val="Verdana"/>
      <family val="2"/>
    </font>
    <font>
      <sz val="10"/>
      <name val="Verdana"/>
      <family val="2"/>
    </font>
    <font>
      <b/>
      <i/>
      <sz val="10"/>
      <name val="Verdana"/>
      <family val="2"/>
    </font>
    <font>
      <u val="singleAccounting"/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61">
    <xf numFmtId="0" fontId="0" fillId="0" borderId="0" xfId="0"/>
    <xf numFmtId="0" fontId="3" fillId="0" borderId="0" xfId="0" applyFont="1" applyBorder="1"/>
    <xf numFmtId="0" fontId="3" fillId="0" borderId="1" xfId="0" applyFont="1" applyBorder="1"/>
    <xf numFmtId="0" fontId="3" fillId="0" borderId="2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3" fillId="0" borderId="4" xfId="0" applyFont="1" applyBorder="1"/>
    <xf numFmtId="0" fontId="4" fillId="0" borderId="5" xfId="0" applyFont="1" applyBorder="1"/>
    <xf numFmtId="0" fontId="4" fillId="0" borderId="5" xfId="0" applyFont="1" applyBorder="1" applyAlignment="1">
      <alignment horizontal="right"/>
    </xf>
    <xf numFmtId="0" fontId="4" fillId="0" borderId="1" xfId="0" applyFont="1" applyBorder="1"/>
    <xf numFmtId="0" fontId="4" fillId="0" borderId="0" xfId="0" applyFont="1" applyBorder="1"/>
    <xf numFmtId="167" fontId="7" fillId="2" borderId="6" xfId="2" applyNumberFormat="1" applyFont="1" applyFill="1" applyBorder="1"/>
    <xf numFmtId="165" fontId="3" fillId="2" borderId="5" xfId="2" applyNumberFormat="1" applyFont="1" applyFill="1" applyBorder="1"/>
    <xf numFmtId="0" fontId="3" fillId="0" borderId="5" xfId="0" applyFont="1" applyBorder="1"/>
    <xf numFmtId="165" fontId="3" fillId="2" borderId="7" xfId="2" applyNumberFormat="1" applyFont="1" applyFill="1" applyBorder="1"/>
    <xf numFmtId="167" fontId="7" fillId="2" borderId="8" xfId="2" applyNumberFormat="1" applyFont="1" applyFill="1" applyBorder="1"/>
    <xf numFmtId="165" fontId="4" fillId="2" borderId="6" xfId="2" applyNumberFormat="1" applyFont="1" applyFill="1" applyBorder="1"/>
    <xf numFmtId="166" fontId="5" fillId="0" borderId="9" xfId="1" applyFont="1" applyBorder="1"/>
    <xf numFmtId="166" fontId="5" fillId="0" borderId="9" xfId="1" applyFont="1" applyFill="1" applyBorder="1"/>
    <xf numFmtId="169" fontId="5" fillId="0" borderId="9" xfId="1" applyNumberFormat="1" applyFont="1" applyBorder="1"/>
    <xf numFmtId="169" fontId="4" fillId="0" borderId="1" xfId="0" applyNumberFormat="1" applyFont="1" applyBorder="1"/>
    <xf numFmtId="169" fontId="4" fillId="0" borderId="0" xfId="0" applyNumberFormat="1" applyFont="1" applyBorder="1"/>
    <xf numFmtId="169" fontId="3" fillId="0" borderId="0" xfId="0" applyNumberFormat="1" applyFont="1" applyBorder="1"/>
    <xf numFmtId="169" fontId="3" fillId="0" borderId="5" xfId="0" applyNumberFormat="1" applyFont="1" applyBorder="1"/>
    <xf numFmtId="169" fontId="0" fillId="0" borderId="0" xfId="0" applyNumberFormat="1"/>
    <xf numFmtId="169" fontId="3" fillId="0" borderId="7" xfId="0" applyNumberFormat="1" applyFont="1" applyBorder="1"/>
    <xf numFmtId="169" fontId="3" fillId="0" borderId="6" xfId="0" applyNumberFormat="1" applyFont="1" applyBorder="1"/>
    <xf numFmtId="169" fontId="3" fillId="0" borderId="8" xfId="0" applyNumberFormat="1" applyFont="1" applyBorder="1"/>
    <xf numFmtId="169" fontId="4" fillId="0" borderId="8" xfId="0" applyNumberFormat="1" applyFont="1" applyBorder="1"/>
    <xf numFmtId="0" fontId="4" fillId="0" borderId="0" xfId="0" applyFont="1" applyBorder="1" applyAlignment="1">
      <alignment horizontal="left"/>
    </xf>
    <xf numFmtId="165" fontId="4" fillId="2" borderId="10" xfId="2" applyNumberFormat="1" applyFont="1" applyFill="1" applyBorder="1"/>
    <xf numFmtId="0" fontId="4" fillId="0" borderId="10" xfId="0" applyFont="1" applyBorder="1" applyAlignment="1">
      <alignment horizontal="left"/>
    </xf>
    <xf numFmtId="168" fontId="5" fillId="0" borderId="9" xfId="1" applyNumberFormat="1" applyFont="1" applyBorder="1"/>
    <xf numFmtId="168" fontId="7" fillId="2" borderId="5" xfId="2" applyNumberFormat="1" applyFont="1" applyFill="1" applyBorder="1"/>
    <xf numFmtId="168" fontId="7" fillId="2" borderId="3" xfId="2" applyNumberFormat="1" applyFont="1" applyFill="1" applyBorder="1"/>
    <xf numFmtId="168" fontId="4" fillId="0" borderId="0" xfId="0" applyNumberFormat="1" applyFont="1" applyBorder="1"/>
    <xf numFmtId="168" fontId="3" fillId="0" borderId="0" xfId="0" applyNumberFormat="1" applyFont="1" applyBorder="1"/>
    <xf numFmtId="168" fontId="3" fillId="0" borderId="5" xfId="0" applyNumberFormat="1" applyFont="1" applyBorder="1"/>
    <xf numFmtId="168" fontId="0" fillId="0" borderId="0" xfId="0" applyNumberFormat="1"/>
    <xf numFmtId="3" fontId="4" fillId="0" borderId="9" xfId="0" applyNumberFormat="1" applyFont="1" applyBorder="1"/>
    <xf numFmtId="168" fontId="7" fillId="0" borderId="11" xfId="2" applyNumberFormat="1" applyFont="1" applyBorder="1" applyAlignment="1">
      <alignment horizontal="right"/>
    </xf>
    <xf numFmtId="165" fontId="6" fillId="0" borderId="5" xfId="0" applyNumberFormat="1" applyFont="1" applyFill="1" applyBorder="1" applyAlignment="1">
      <alignment horizontal="center"/>
    </xf>
    <xf numFmtId="169" fontId="6" fillId="0" borderId="6" xfId="0" applyNumberFormat="1" applyFont="1" applyFill="1" applyBorder="1" applyAlignment="1">
      <alignment horizontal="center"/>
    </xf>
    <xf numFmtId="0" fontId="4" fillId="2" borderId="10" xfId="0" applyFont="1" applyFill="1" applyBorder="1" applyAlignment="1"/>
    <xf numFmtId="0" fontId="4" fillId="2" borderId="10" xfId="0" applyFont="1" applyFill="1" applyBorder="1"/>
    <xf numFmtId="0" fontId="4" fillId="2" borderId="11" xfId="0" applyFont="1" applyFill="1" applyBorder="1" applyAlignment="1">
      <alignment horizontal="right"/>
    </xf>
    <xf numFmtId="0" fontId="3" fillId="0" borderId="12" xfId="0" applyFont="1" applyBorder="1"/>
    <xf numFmtId="0" fontId="8" fillId="0" borderId="9" xfId="0" applyFont="1" applyFill="1" applyBorder="1" applyAlignment="1">
      <alignment horizontal="left"/>
    </xf>
    <xf numFmtId="0" fontId="5" fillId="0" borderId="7" xfId="0" applyFont="1" applyBorder="1"/>
    <xf numFmtId="0" fontId="10" fillId="0" borderId="2" xfId="0" applyFont="1" applyBorder="1"/>
    <xf numFmtId="168" fontId="10" fillId="0" borderId="3" xfId="0" applyNumberFormat="1" applyFont="1" applyBorder="1"/>
    <xf numFmtId="0" fontId="10" fillId="0" borderId="3" xfId="0" applyFont="1" applyBorder="1"/>
    <xf numFmtId="169" fontId="10" fillId="0" borderId="3" xfId="0" applyNumberFormat="1" applyFont="1" applyBorder="1"/>
    <xf numFmtId="0" fontId="5" fillId="0" borderId="3" xfId="0" applyFont="1" applyBorder="1"/>
    <xf numFmtId="0" fontId="6" fillId="0" borderId="1" xfId="0" applyFont="1" applyBorder="1" applyAlignment="1">
      <alignment horizontal="centerContinuous"/>
    </xf>
    <xf numFmtId="0" fontId="11" fillId="0" borderId="8" xfId="0" applyFont="1" applyBorder="1" applyAlignment="1">
      <alignment horizontal="centerContinuous"/>
    </xf>
    <xf numFmtId="168" fontId="10" fillId="0" borderId="0" xfId="0" applyNumberFormat="1" applyFont="1" applyBorder="1"/>
    <xf numFmtId="0" fontId="10" fillId="0" borderId="0" xfId="0" applyFont="1" applyBorder="1"/>
    <xf numFmtId="169" fontId="10" fillId="0" borderId="0" xfId="0" applyNumberFormat="1" applyFont="1" applyBorder="1"/>
    <xf numFmtId="0" fontId="10" fillId="0" borderId="6" xfId="0" applyFont="1" applyBorder="1"/>
    <xf numFmtId="168" fontId="10" fillId="0" borderId="5" xfId="0" applyNumberFormat="1" applyFont="1" applyBorder="1"/>
    <xf numFmtId="0" fontId="10" fillId="0" borderId="5" xfId="0" applyFont="1" applyBorder="1"/>
    <xf numFmtId="169" fontId="10" fillId="0" borderId="5" xfId="0" applyNumberFormat="1" applyFont="1" applyBorder="1"/>
    <xf numFmtId="0" fontId="6" fillId="0" borderId="0" xfId="0" applyFont="1" applyBorder="1" applyAlignment="1">
      <alignment horizontal="centerContinuous"/>
    </xf>
    <xf numFmtId="168" fontId="6" fillId="0" borderId="0" xfId="0" applyNumberFormat="1" applyFont="1" applyBorder="1" applyAlignment="1">
      <alignment horizontal="centerContinuous"/>
    </xf>
    <xf numFmtId="169" fontId="5" fillId="0" borderId="0" xfId="0" applyNumberFormat="1" applyFont="1" applyBorder="1"/>
    <xf numFmtId="0" fontId="6" fillId="0" borderId="11" xfId="0" applyFont="1" applyBorder="1" applyAlignment="1">
      <alignment horizontal="centerContinuous"/>
    </xf>
    <xf numFmtId="0" fontId="5" fillId="0" borderId="4" xfId="0" applyFont="1" applyBorder="1"/>
    <xf numFmtId="0" fontId="5" fillId="0" borderId="5" xfId="0" applyFont="1" applyBorder="1"/>
    <xf numFmtId="168" fontId="5" fillId="0" borderId="5" xfId="0" applyNumberFormat="1" applyFont="1" applyBorder="1"/>
    <xf numFmtId="169" fontId="5" fillId="0" borderId="5" xfId="0" applyNumberFormat="1" applyFont="1" applyBorder="1"/>
    <xf numFmtId="0" fontId="6" fillId="0" borderId="13" xfId="0" applyFont="1" applyBorder="1" applyAlignment="1">
      <alignment horizontal="centerContinuous"/>
    </xf>
    <xf numFmtId="0" fontId="6" fillId="0" borderId="9" xfId="0" applyFont="1" applyBorder="1" applyAlignment="1">
      <alignment horizontal="centerContinuous"/>
    </xf>
    <xf numFmtId="168" fontId="6" fillId="0" borderId="9" xfId="0" applyNumberFormat="1" applyFont="1" applyBorder="1" applyAlignment="1">
      <alignment horizontal="centerContinuous"/>
    </xf>
    <xf numFmtId="169" fontId="6" fillId="0" borderId="14" xfId="0" applyNumberFormat="1" applyFont="1" applyBorder="1" applyAlignment="1">
      <alignment horizontal="center"/>
    </xf>
    <xf numFmtId="0" fontId="6" fillId="0" borderId="14" xfId="0" applyFont="1" applyBorder="1" applyAlignment="1">
      <alignment horizontal="centerContinuous"/>
    </xf>
    <xf numFmtId="0" fontId="3" fillId="2" borderId="1" xfId="0" applyFont="1" applyFill="1" applyBorder="1"/>
    <xf numFmtId="0" fontId="10" fillId="0" borderId="8" xfId="0" applyFont="1" applyBorder="1"/>
    <xf numFmtId="169" fontId="10" fillId="0" borderId="6" xfId="0" applyNumberFormat="1" applyFont="1" applyBorder="1" applyAlignment="1">
      <alignment horizontal="center"/>
    </xf>
    <xf numFmtId="0" fontId="15" fillId="0" borderId="2" xfId="0" applyFont="1" applyBorder="1"/>
    <xf numFmtId="15" fontId="15" fillId="0" borderId="4" xfId="0" applyNumberFormat="1" applyFont="1" applyBorder="1"/>
    <xf numFmtId="3" fontId="5" fillId="0" borderId="9" xfId="0" applyNumberFormat="1" applyFont="1" applyBorder="1"/>
    <xf numFmtId="0" fontId="15" fillId="0" borderId="1" xfId="0" applyFont="1" applyBorder="1" applyAlignment="1">
      <alignment horizontal="left"/>
    </xf>
    <xf numFmtId="0" fontId="4" fillId="0" borderId="0" xfId="0" applyFont="1" applyFill="1" applyBorder="1"/>
    <xf numFmtId="0" fontId="15" fillId="0" borderId="10" xfId="0" applyFont="1" applyBorder="1"/>
    <xf numFmtId="166" fontId="3" fillId="0" borderId="9" xfId="1" applyNumberFormat="1" applyFont="1" applyBorder="1"/>
    <xf numFmtId="0" fontId="4" fillId="0" borderId="0" xfId="0" applyFont="1" applyBorder="1" applyAlignment="1">
      <alignment horizontal="right"/>
    </xf>
    <xf numFmtId="0" fontId="3" fillId="0" borderId="3" xfId="0" applyFont="1" applyBorder="1"/>
    <xf numFmtId="165" fontId="4" fillId="0" borderId="3" xfId="2" applyFont="1" applyBorder="1" applyAlignment="1">
      <alignment horizontal="center"/>
    </xf>
    <xf numFmtId="165" fontId="4" fillId="0" borderId="0" xfId="0" applyNumberFormat="1" applyFont="1" applyBorder="1"/>
    <xf numFmtId="165" fontId="8" fillId="0" borderId="2" xfId="2" applyNumberFormat="1" applyFont="1" applyBorder="1"/>
    <xf numFmtId="165" fontId="4" fillId="0" borderId="3" xfId="2" applyFont="1" applyBorder="1"/>
    <xf numFmtId="0" fontId="8" fillId="0" borderId="1" xfId="0" applyFont="1" applyBorder="1"/>
    <xf numFmtId="0" fontId="22" fillId="0" borderId="4" xfId="0" applyFont="1" applyBorder="1"/>
    <xf numFmtId="165" fontId="23" fillId="0" borderId="9" xfId="0" applyNumberFormat="1" applyFont="1" applyFill="1" applyBorder="1" applyAlignment="1">
      <alignment horizontal="center"/>
    </xf>
    <xf numFmtId="169" fontId="24" fillId="0" borderId="8" xfId="0" applyNumberFormat="1" applyFont="1" applyBorder="1"/>
    <xf numFmtId="0" fontId="15" fillId="0" borderId="10" xfId="0" applyFont="1" applyBorder="1" applyAlignment="1">
      <alignment horizontal="center"/>
    </xf>
    <xf numFmtId="170" fontId="18" fillId="0" borderId="10" xfId="0" applyNumberFormat="1" applyFont="1" applyBorder="1"/>
    <xf numFmtId="3" fontId="18" fillId="0" borderId="10" xfId="0" applyNumberFormat="1" applyFont="1" applyBorder="1"/>
    <xf numFmtId="166" fontId="5" fillId="0" borderId="10" xfId="1" applyFont="1" applyBorder="1"/>
    <xf numFmtId="169" fontId="5" fillId="0" borderId="10" xfId="1" applyNumberFormat="1" applyFont="1" applyBorder="1"/>
    <xf numFmtId="169" fontId="5" fillId="0" borderId="11" xfId="1" applyNumberFormat="1" applyFont="1" applyBorder="1"/>
    <xf numFmtId="0" fontId="4" fillId="0" borderId="11" xfId="0" applyFont="1" applyBorder="1" applyAlignment="1">
      <alignment horizontal="left"/>
    </xf>
    <xf numFmtId="169" fontId="14" fillId="0" borderId="13" xfId="0" applyNumberFormat="1" applyFont="1" applyFill="1" applyBorder="1" applyAlignment="1">
      <alignment horizontal="left"/>
    </xf>
    <xf numFmtId="165" fontId="25" fillId="0" borderId="0" xfId="0" applyNumberFormat="1" applyFont="1" applyBorder="1"/>
    <xf numFmtId="169" fontId="17" fillId="0" borderId="1" xfId="0" applyNumberFormat="1" applyFont="1" applyBorder="1"/>
    <xf numFmtId="169" fontId="17" fillId="0" borderId="2" xfId="0" applyNumberFormat="1" applyFont="1" applyBorder="1"/>
    <xf numFmtId="169" fontId="17" fillId="0" borderId="4" xfId="0" applyNumberFormat="1" applyFont="1" applyBorder="1"/>
    <xf numFmtId="2" fontId="15" fillId="0" borderId="12" xfId="0" applyNumberFormat="1" applyFont="1" applyBorder="1" applyAlignment="1">
      <alignment horizontal="center"/>
    </xf>
    <xf numFmtId="0" fontId="3" fillId="2" borderId="2" xfId="0" applyFont="1" applyFill="1" applyBorder="1"/>
    <xf numFmtId="0" fontId="3" fillId="2" borderId="4" xfId="0" applyFont="1" applyFill="1" applyBorder="1"/>
    <xf numFmtId="0" fontId="11" fillId="0" borderId="0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167" fontId="11" fillId="0" borderId="10" xfId="2" applyNumberFormat="1" applyFont="1" applyBorder="1" applyAlignment="1">
      <alignment horizontal="center"/>
    </xf>
    <xf numFmtId="167" fontId="11" fillId="2" borderId="10" xfId="2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169" fontId="4" fillId="2" borderId="10" xfId="0" applyNumberFormat="1" applyFont="1" applyFill="1" applyBorder="1" applyAlignment="1">
      <alignment horizontal="center"/>
    </xf>
    <xf numFmtId="169" fontId="4" fillId="2" borderId="13" xfId="0" applyNumberFormat="1" applyFont="1" applyFill="1" applyBorder="1" applyAlignment="1">
      <alignment horizontal="center"/>
    </xf>
    <xf numFmtId="165" fontId="4" fillId="0" borderId="5" xfId="0" applyNumberFormat="1" applyFont="1" applyBorder="1" applyAlignment="1">
      <alignment horizontal="right"/>
    </xf>
    <xf numFmtId="49" fontId="15" fillId="0" borderId="4" xfId="0" applyNumberFormat="1" applyFont="1" applyBorder="1" applyAlignment="1">
      <alignment horizontal="center"/>
    </xf>
    <xf numFmtId="0" fontId="20" fillId="0" borderId="9" xfId="0" applyFont="1" applyFill="1" applyBorder="1" applyAlignment="1">
      <alignment horizontal="center"/>
    </xf>
    <xf numFmtId="165" fontId="0" fillId="0" borderId="0" xfId="2" applyFont="1"/>
    <xf numFmtId="165" fontId="0" fillId="0" borderId="0" xfId="0" applyNumberFormat="1"/>
    <xf numFmtId="169" fontId="4" fillId="0" borderId="12" xfId="0" applyNumberFormat="1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6" xfId="0" applyFont="1" applyBorder="1" applyAlignment="1">
      <alignment horizontal="right"/>
    </xf>
    <xf numFmtId="0" fontId="4" fillId="0" borderId="17" xfId="0" applyFont="1" applyBorder="1"/>
    <xf numFmtId="0" fontId="4" fillId="2" borderId="3" xfId="0" applyFont="1" applyFill="1" applyBorder="1"/>
    <xf numFmtId="167" fontId="11" fillId="2" borderId="0" xfId="2" applyNumberFormat="1" applyFont="1" applyFill="1" applyBorder="1" applyAlignment="1">
      <alignment horizontal="center"/>
    </xf>
    <xf numFmtId="168" fontId="7" fillId="0" borderId="0" xfId="2" applyNumberFormat="1" applyFont="1" applyBorder="1" applyAlignment="1">
      <alignment horizontal="right"/>
    </xf>
    <xf numFmtId="3" fontId="4" fillId="0" borderId="0" xfId="0" applyNumberFormat="1" applyFont="1" applyBorder="1"/>
    <xf numFmtId="169" fontId="14" fillId="0" borderId="10" xfId="0" applyNumberFormat="1" applyFont="1" applyFill="1" applyBorder="1" applyAlignment="1">
      <alignment horizontal="left"/>
    </xf>
    <xf numFmtId="165" fontId="4" fillId="0" borderId="10" xfId="0" applyNumberFormat="1" applyFont="1" applyBorder="1" applyAlignment="1">
      <alignment horizontal="right"/>
    </xf>
    <xf numFmtId="165" fontId="23" fillId="0" borderId="10" xfId="0" applyNumberFormat="1" applyFont="1" applyFill="1" applyBorder="1" applyAlignment="1">
      <alignment horizontal="center"/>
    </xf>
    <xf numFmtId="165" fontId="6" fillId="0" borderId="10" xfId="0" applyNumberFormat="1" applyFont="1" applyFill="1" applyBorder="1" applyAlignment="1">
      <alignment horizontal="center"/>
    </xf>
    <xf numFmtId="169" fontId="6" fillId="0" borderId="1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10" fillId="0" borderId="7" xfId="0" applyFont="1" applyFill="1" applyBorder="1"/>
    <xf numFmtId="0" fontId="10" fillId="0" borderId="6" xfId="0" applyFont="1" applyFill="1" applyBorder="1"/>
    <xf numFmtId="0" fontId="6" fillId="0" borderId="13" xfId="0" applyFont="1" applyFill="1" applyBorder="1" applyAlignment="1">
      <alignment horizontal="centerContinuous"/>
    </xf>
    <xf numFmtId="0" fontId="6" fillId="0" borderId="9" xfId="0" applyFont="1" applyFill="1" applyBorder="1" applyAlignment="1">
      <alignment horizontal="centerContinuous"/>
    </xf>
    <xf numFmtId="165" fontId="4" fillId="0" borderId="7" xfId="2" applyFont="1" applyFill="1" applyBorder="1" applyAlignment="1">
      <alignment horizontal="center"/>
    </xf>
    <xf numFmtId="0" fontId="4" fillId="0" borderId="8" xfId="0" applyFont="1" applyFill="1" applyBorder="1"/>
    <xf numFmtId="165" fontId="4" fillId="0" borderId="6" xfId="0" applyNumberFormat="1" applyFont="1" applyFill="1" applyBorder="1" applyAlignment="1">
      <alignment horizontal="center"/>
    </xf>
    <xf numFmtId="166" fontId="5" fillId="0" borderId="10" xfId="1" applyFont="1" applyFill="1" applyBorder="1"/>
    <xf numFmtId="0" fontId="4" fillId="0" borderId="3" xfId="0" applyFont="1" applyFill="1" applyBorder="1"/>
    <xf numFmtId="0" fontId="4" fillId="0" borderId="16" xfId="0" applyFont="1" applyFill="1" applyBorder="1"/>
    <xf numFmtId="0" fontId="4" fillId="0" borderId="17" xfId="0" applyFont="1" applyFill="1" applyBorder="1"/>
    <xf numFmtId="0" fontId="4" fillId="0" borderId="5" xfId="0" applyFont="1" applyFill="1" applyBorder="1"/>
    <xf numFmtId="165" fontId="4" fillId="0" borderId="10" xfId="0" applyNumberFormat="1" applyFont="1" applyFill="1" applyBorder="1" applyAlignment="1">
      <alignment horizontal="center"/>
    </xf>
    <xf numFmtId="0" fontId="0" fillId="0" borderId="0" xfId="0" applyFill="1"/>
    <xf numFmtId="169" fontId="3" fillId="0" borderId="18" xfId="0" applyNumberFormat="1" applyFont="1" applyBorder="1"/>
    <xf numFmtId="2" fontId="11" fillId="0" borderId="1" xfId="0" applyNumberFormat="1" applyFont="1" applyBorder="1" applyAlignment="1">
      <alignment horizontal="center"/>
    </xf>
    <xf numFmtId="0" fontId="10" fillId="0" borderId="8" xfId="0" applyFont="1" applyFill="1" applyBorder="1"/>
    <xf numFmtId="0" fontId="13" fillId="0" borderId="9" xfId="0" applyFont="1" applyFill="1" applyBorder="1"/>
    <xf numFmtId="169" fontId="4" fillId="0" borderId="5" xfId="0" applyNumberFormat="1" applyFont="1" applyBorder="1"/>
    <xf numFmtId="0" fontId="16" fillId="0" borderId="10" xfId="0" applyFont="1" applyBorder="1"/>
    <xf numFmtId="170" fontId="5" fillId="0" borderId="10" xfId="0" applyNumberFormat="1" applyFont="1" applyBorder="1"/>
    <xf numFmtId="3" fontId="5" fillId="0" borderId="10" xfId="0" applyNumberFormat="1" applyFont="1" applyBorder="1"/>
    <xf numFmtId="0" fontId="3" fillId="0" borderId="9" xfId="0" applyFont="1" applyFill="1" applyBorder="1" applyAlignment="1">
      <alignment horizontal="center"/>
    </xf>
    <xf numFmtId="9" fontId="13" fillId="0" borderId="9" xfId="0" applyNumberFormat="1" applyFont="1" applyFill="1" applyBorder="1"/>
    <xf numFmtId="3" fontId="27" fillId="0" borderId="9" xfId="0" applyNumberFormat="1" applyFont="1" applyBorder="1"/>
    <xf numFmtId="3" fontId="9" fillId="0" borderId="9" xfId="0" applyNumberFormat="1" applyFont="1" applyBorder="1"/>
    <xf numFmtId="0" fontId="4" fillId="0" borderId="19" xfId="0" applyFont="1" applyBorder="1"/>
    <xf numFmtId="0" fontId="30" fillId="0" borderId="5" xfId="0" applyFont="1" applyFill="1" applyBorder="1"/>
    <xf numFmtId="16" fontId="31" fillId="0" borderId="5" xfId="0" applyNumberFormat="1" applyFont="1" applyBorder="1"/>
    <xf numFmtId="0" fontId="6" fillId="0" borderId="2" xfId="0" applyFont="1" applyBorder="1" applyAlignment="1">
      <alignment horizontal="centerContinuous"/>
    </xf>
    <xf numFmtId="0" fontId="11" fillId="0" borderId="7" xfId="0" applyFont="1" applyBorder="1" applyAlignment="1">
      <alignment horizontal="centerContinuous"/>
    </xf>
    <xf numFmtId="0" fontId="15" fillId="0" borderId="1" xfId="0" applyFont="1" applyBorder="1"/>
    <xf numFmtId="14" fontId="15" fillId="0" borderId="1" xfId="0" applyNumberFormat="1" applyFont="1" applyBorder="1"/>
    <xf numFmtId="166" fontId="4" fillId="0" borderId="1" xfId="0" applyNumberFormat="1" applyFont="1" applyBorder="1"/>
    <xf numFmtId="0" fontId="19" fillId="0" borderId="4" xfId="0" applyFont="1" applyBorder="1"/>
    <xf numFmtId="0" fontId="0" fillId="0" borderId="9" xfId="0" applyBorder="1"/>
    <xf numFmtId="166" fontId="3" fillId="0" borderId="9" xfId="1" applyFont="1" applyBorder="1"/>
    <xf numFmtId="0" fontId="13" fillId="0" borderId="9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5" fillId="0" borderId="9" xfId="0" applyNumberFormat="1" applyFont="1" applyBorder="1" applyAlignment="1">
      <alignment vertical="center" wrapText="1"/>
    </xf>
    <xf numFmtId="169" fontId="5" fillId="0" borderId="9" xfId="1" applyNumberFormat="1" applyFont="1" applyBorder="1" applyAlignment="1">
      <alignment vertical="center" wrapText="1"/>
    </xf>
    <xf numFmtId="166" fontId="5" fillId="0" borderId="9" xfId="1" applyFont="1" applyFill="1" applyBorder="1" applyAlignment="1">
      <alignment vertical="center" wrapText="1"/>
    </xf>
    <xf numFmtId="166" fontId="5" fillId="0" borderId="9" xfId="1" applyFont="1" applyBorder="1" applyAlignment="1">
      <alignment vertical="center" wrapText="1"/>
    </xf>
    <xf numFmtId="0" fontId="33" fillId="0" borderId="0" xfId="0" applyFont="1"/>
    <xf numFmtId="169" fontId="13" fillId="0" borderId="7" xfId="0" applyNumberFormat="1" applyFont="1" applyBorder="1"/>
    <xf numFmtId="0" fontId="13" fillId="0" borderId="0" xfId="0" applyFont="1" applyBorder="1"/>
    <xf numFmtId="0" fontId="5" fillId="0" borderId="1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2" fontId="28" fillId="0" borderId="9" xfId="0" applyNumberFormat="1" applyFont="1" applyFill="1" applyBorder="1" applyAlignment="1">
      <alignment horizontal="center"/>
    </xf>
    <xf numFmtId="0" fontId="34" fillId="0" borderId="9" xfId="0" applyFont="1" applyFill="1" applyBorder="1" applyAlignment="1">
      <alignment horizontal="left"/>
    </xf>
    <xf numFmtId="0" fontId="26" fillId="0" borderId="9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2" fontId="28" fillId="0" borderId="9" xfId="0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2" fontId="28" fillId="0" borderId="9" xfId="0" applyNumberFormat="1" applyFont="1" applyFill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166" fontId="5" fillId="0" borderId="9" xfId="1" applyFont="1" applyBorder="1" applyAlignment="1">
      <alignment horizontal="center" vertical="center" wrapText="1"/>
    </xf>
    <xf numFmtId="166" fontId="5" fillId="0" borderId="9" xfId="1" applyFont="1" applyFill="1" applyBorder="1" applyAlignment="1">
      <alignment vertical="center"/>
    </xf>
    <xf numFmtId="169" fontId="5" fillId="0" borderId="9" xfId="1" applyNumberFormat="1" applyFont="1" applyBorder="1" applyAlignment="1">
      <alignment vertical="center"/>
    </xf>
    <xf numFmtId="166" fontId="5" fillId="0" borderId="9" xfId="1" applyFont="1" applyBorder="1" applyAlignment="1">
      <alignment vertical="center"/>
    </xf>
    <xf numFmtId="2" fontId="28" fillId="0" borderId="9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/>
    </xf>
    <xf numFmtId="167" fontId="3" fillId="0" borderId="5" xfId="2" applyNumberFormat="1" applyFont="1" applyBorder="1"/>
    <xf numFmtId="0" fontId="35" fillId="0" borderId="9" xfId="0" applyFont="1" applyFill="1" applyBorder="1" applyAlignment="1">
      <alignment horizontal="left"/>
    </xf>
    <xf numFmtId="0" fontId="20" fillId="0" borderId="9" xfId="0" applyFont="1" applyFill="1" applyBorder="1" applyAlignment="1">
      <alignment horizontal="center" vertical="center" wrapText="1"/>
    </xf>
    <xf numFmtId="9" fontId="13" fillId="0" borderId="9" xfId="0" applyNumberFormat="1" applyFont="1" applyFill="1" applyBorder="1" applyAlignment="1">
      <alignment horizontal="center" vertical="center" wrapText="1"/>
    </xf>
    <xf numFmtId="3" fontId="27" fillId="0" borderId="9" xfId="0" applyNumberFormat="1" applyFont="1" applyBorder="1" applyAlignment="1">
      <alignment horizontal="center" vertical="center" wrapText="1"/>
    </xf>
    <xf numFmtId="168" fontId="5" fillId="0" borderId="9" xfId="1" applyNumberFormat="1" applyFont="1" applyBorder="1" applyAlignment="1">
      <alignment horizontal="center" vertical="center" wrapText="1"/>
    </xf>
    <xf numFmtId="0" fontId="34" fillId="0" borderId="9" xfId="0" applyFont="1" applyFill="1" applyBorder="1" applyAlignment="1">
      <alignment horizontal="left" vertical="center" wrapText="1"/>
    </xf>
    <xf numFmtId="166" fontId="5" fillId="0" borderId="9" xfId="1" applyFont="1" applyFill="1" applyBorder="1" applyAlignment="1"/>
    <xf numFmtId="3" fontId="5" fillId="0" borderId="9" xfId="0" applyNumberFormat="1" applyFont="1" applyBorder="1" applyAlignment="1">
      <alignment horizontal="right" vertical="center" wrapText="1"/>
    </xf>
    <xf numFmtId="0" fontId="21" fillId="0" borderId="9" xfId="0" applyFont="1" applyFill="1" applyBorder="1" applyAlignment="1">
      <alignment horizontal="left" vertical="center" wrapText="1"/>
    </xf>
    <xf numFmtId="3" fontId="21" fillId="0" borderId="9" xfId="0" applyNumberFormat="1" applyFont="1" applyBorder="1" applyAlignment="1">
      <alignment horizontal="center" vertical="center" wrapText="1"/>
    </xf>
    <xf numFmtId="168" fontId="6" fillId="0" borderId="9" xfId="1" applyNumberFormat="1" applyFont="1" applyBorder="1" applyAlignment="1">
      <alignment horizontal="center" vertical="center" wrapText="1"/>
    </xf>
    <xf numFmtId="166" fontId="6" fillId="0" borderId="9" xfId="1" applyFont="1" applyFill="1" applyBorder="1" applyAlignment="1"/>
    <xf numFmtId="166" fontId="6" fillId="0" borderId="9" xfId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/>
    <xf numFmtId="3" fontId="9" fillId="0" borderId="0" xfId="0" applyNumberFormat="1" applyFont="1" applyAlignment="1">
      <alignment horizontal="center" vertical="center" wrapText="1"/>
    </xf>
    <xf numFmtId="0" fontId="15" fillId="0" borderId="13" xfId="0" applyFont="1" applyBorder="1" applyAlignment="1">
      <alignment horizontal="center"/>
    </xf>
    <xf numFmtId="168" fontId="5" fillId="0" borderId="10" xfId="1" applyNumberFormat="1" applyFont="1" applyBorder="1"/>
    <xf numFmtId="165" fontId="3" fillId="0" borderId="10" xfId="2" applyFont="1" applyBorder="1" applyAlignment="1">
      <alignment horizontal="right"/>
    </xf>
    <xf numFmtId="2" fontId="33" fillId="0" borderId="0" xfId="0" applyNumberFormat="1" applyFont="1"/>
    <xf numFmtId="0" fontId="33" fillId="0" borderId="13" xfId="0" applyFont="1" applyBorder="1"/>
    <xf numFmtId="0" fontId="33" fillId="0" borderId="11" xfId="0" applyFont="1" applyBorder="1"/>
    <xf numFmtId="166" fontId="33" fillId="0" borderId="0" xfId="0" applyNumberFormat="1" applyFont="1"/>
    <xf numFmtId="165" fontId="0" fillId="0" borderId="0" xfId="2" applyFont="1" applyAlignment="1">
      <alignment vertical="center" wrapText="1"/>
    </xf>
    <xf numFmtId="167" fontId="33" fillId="0" borderId="0" xfId="2" applyNumberFormat="1" applyFont="1"/>
    <xf numFmtId="169" fontId="9" fillId="0" borderId="20" xfId="0" applyNumberFormat="1" applyFont="1" applyBorder="1"/>
    <xf numFmtId="164" fontId="0" fillId="0" borderId="0" xfId="0" applyNumberFormat="1"/>
    <xf numFmtId="0" fontId="38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37" fillId="0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166" fontId="1" fillId="0" borderId="0" xfId="1" applyFont="1" applyBorder="1" applyAlignment="1">
      <alignment vertical="center"/>
    </xf>
    <xf numFmtId="166" fontId="27" fillId="0" borderId="0" xfId="1" applyFont="1" applyBorder="1" applyAlignment="1">
      <alignment vertical="center"/>
    </xf>
    <xf numFmtId="3" fontId="38" fillId="0" borderId="0" xfId="0" applyNumberFormat="1" applyFont="1" applyAlignment="1">
      <alignment vertical="center"/>
    </xf>
    <xf numFmtId="168" fontId="13" fillId="0" borderId="0" xfId="0" applyNumberFormat="1" applyFont="1" applyBorder="1" applyAlignment="1">
      <alignment vertical="center"/>
    </xf>
    <xf numFmtId="169" fontId="13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168" fontId="13" fillId="0" borderId="0" xfId="0" applyNumberFormat="1" applyFont="1" applyAlignment="1">
      <alignment vertical="center"/>
    </xf>
    <xf numFmtId="169" fontId="13" fillId="0" borderId="0" xfId="0" applyNumberFormat="1" applyFont="1" applyAlignment="1">
      <alignment vertical="center"/>
    </xf>
    <xf numFmtId="0" fontId="13" fillId="0" borderId="0" xfId="0" applyFont="1" applyFill="1" applyAlignment="1">
      <alignment vertical="center"/>
    </xf>
    <xf numFmtId="0" fontId="40" fillId="0" borderId="21" xfId="0" applyFont="1" applyBorder="1" applyAlignment="1">
      <alignment vertical="center"/>
    </xf>
    <xf numFmtId="0" fontId="40" fillId="0" borderId="7" xfId="0" applyFont="1" applyBorder="1" applyAlignment="1">
      <alignment vertical="center"/>
    </xf>
    <xf numFmtId="0" fontId="40" fillId="0" borderId="14" xfId="0" applyFont="1" applyBorder="1" applyAlignment="1">
      <alignment vertical="center"/>
    </xf>
    <xf numFmtId="0" fontId="40" fillId="0" borderId="9" xfId="0" applyFont="1" applyBorder="1" applyAlignment="1">
      <alignment vertical="center"/>
    </xf>
    <xf numFmtId="14" fontId="40" fillId="0" borderId="9" xfId="0" applyNumberFormat="1" applyFont="1" applyFill="1" applyBorder="1" applyAlignment="1">
      <alignment vertical="center"/>
    </xf>
    <xf numFmtId="0" fontId="40" fillId="0" borderId="1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171" fontId="40" fillId="0" borderId="10" xfId="0" applyNumberFormat="1" applyFont="1" applyBorder="1" applyAlignment="1">
      <alignment vertical="center"/>
    </xf>
    <xf numFmtId="169" fontId="40" fillId="0" borderId="10" xfId="0" applyNumberFormat="1" applyFont="1" applyBorder="1" applyAlignment="1">
      <alignment vertical="center"/>
    </xf>
    <xf numFmtId="0" fontId="40" fillId="0" borderId="10" xfId="0" applyFont="1" applyBorder="1" applyAlignment="1">
      <alignment vertical="center"/>
    </xf>
    <xf numFmtId="0" fontId="40" fillId="0" borderId="11" xfId="0" applyFont="1" applyFill="1" applyBorder="1" applyAlignment="1">
      <alignment vertical="center"/>
    </xf>
    <xf numFmtId="14" fontId="40" fillId="0" borderId="9" xfId="0" applyNumberFormat="1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40" fillId="0" borderId="7" xfId="0" applyFont="1" applyFill="1" applyBorder="1" applyAlignment="1">
      <alignment vertical="center"/>
    </xf>
    <xf numFmtId="0" fontId="40" fillId="0" borderId="9" xfId="0" applyFont="1" applyFill="1" applyBorder="1" applyAlignment="1">
      <alignment vertical="center"/>
    </xf>
    <xf numFmtId="0" fontId="40" fillId="0" borderId="8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/>
    </xf>
    <xf numFmtId="168" fontId="40" fillId="0" borderId="9" xfId="0" applyNumberFormat="1" applyFont="1" applyBorder="1" applyAlignment="1">
      <alignment vertical="center"/>
    </xf>
    <xf numFmtId="169" fontId="40" fillId="0" borderId="9" xfId="0" applyNumberFormat="1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40" fillId="0" borderId="9" xfId="0" applyFont="1" applyBorder="1" applyAlignment="1">
      <alignment horizontal="center" vertical="center"/>
    </xf>
    <xf numFmtId="0" fontId="40" fillId="0" borderId="9" xfId="0" applyFont="1" applyBorder="1" applyAlignment="1">
      <alignment vertical="center" wrapText="1"/>
    </xf>
    <xf numFmtId="4" fontId="40" fillId="0" borderId="9" xfId="0" applyNumberFormat="1" applyFont="1" applyBorder="1" applyAlignment="1">
      <alignment horizontal="center" vertical="center"/>
    </xf>
    <xf numFmtId="3" fontId="40" fillId="0" borderId="11" xfId="0" applyNumberFormat="1" applyFont="1" applyBorder="1" applyAlignment="1">
      <alignment horizontal="center" vertical="center"/>
    </xf>
    <xf numFmtId="3" fontId="40" fillId="0" borderId="9" xfId="0" applyNumberFormat="1" applyFont="1" applyBorder="1" applyAlignment="1">
      <alignment horizontal="center" vertical="center"/>
    </xf>
    <xf numFmtId="4" fontId="40" fillId="0" borderId="9" xfId="1" applyNumberFormat="1" applyFont="1" applyBorder="1" applyAlignment="1">
      <alignment horizontal="center" vertical="center"/>
    </xf>
    <xf numFmtId="4" fontId="40" fillId="0" borderId="9" xfId="0" applyNumberFormat="1" applyFont="1" applyFill="1" applyBorder="1" applyAlignment="1">
      <alignment horizontal="center" vertical="center"/>
    </xf>
    <xf numFmtId="3" fontId="40" fillId="0" borderId="9" xfId="1" applyNumberFormat="1" applyFont="1" applyBorder="1" applyAlignment="1">
      <alignment horizontal="center" vertical="center"/>
    </xf>
    <xf numFmtId="4" fontId="40" fillId="0" borderId="11" xfId="0" applyNumberFormat="1" applyFont="1" applyBorder="1" applyAlignment="1">
      <alignment horizontal="center" vertical="center"/>
    </xf>
    <xf numFmtId="1" fontId="40" fillId="0" borderId="14" xfId="0" applyNumberFormat="1" applyFont="1" applyFill="1" applyBorder="1" applyAlignment="1">
      <alignment horizontal="center" vertical="center"/>
    </xf>
    <xf numFmtId="4" fontId="40" fillId="0" borderId="14" xfId="0" applyNumberFormat="1" applyFont="1" applyFill="1" applyBorder="1" applyAlignment="1">
      <alignment horizontal="center" vertical="center"/>
    </xf>
    <xf numFmtId="1" fontId="40" fillId="0" borderId="9" xfId="0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vertical="center" wrapText="1"/>
    </xf>
    <xf numFmtId="4" fontId="40" fillId="0" borderId="9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vertical="center" wrapText="1"/>
    </xf>
    <xf numFmtId="0" fontId="39" fillId="0" borderId="9" xfId="0" applyFont="1" applyFill="1" applyBorder="1" applyAlignment="1">
      <alignment vertical="center" wrapText="1"/>
    </xf>
    <xf numFmtId="4" fontId="40" fillId="0" borderId="9" xfId="0" applyNumberFormat="1" applyFont="1" applyFill="1" applyBorder="1" applyAlignment="1">
      <alignment horizontal="center" vertical="center" wrapText="1"/>
    </xf>
    <xf numFmtId="4" fontId="40" fillId="0" borderId="9" xfId="0" applyNumberFormat="1" applyFont="1" applyBorder="1" applyAlignment="1">
      <alignment horizontal="center" vertical="center" wrapText="1"/>
    </xf>
    <xf numFmtId="3" fontId="40" fillId="0" borderId="9" xfId="0" applyNumberFormat="1" applyFont="1" applyBorder="1" applyAlignment="1">
      <alignment horizontal="center" vertical="center" wrapText="1"/>
    </xf>
    <xf numFmtId="4" fontId="39" fillId="0" borderId="9" xfId="1" applyNumberFormat="1" applyFont="1" applyBorder="1" applyAlignment="1">
      <alignment horizontal="center" vertical="center" wrapText="1"/>
    </xf>
    <xf numFmtId="4" fontId="39" fillId="0" borderId="9" xfId="0" applyNumberFormat="1" applyFont="1" applyBorder="1" applyAlignment="1">
      <alignment horizontal="center" vertical="center" wrapText="1"/>
    </xf>
    <xf numFmtId="3" fontId="39" fillId="0" borderId="9" xfId="0" applyNumberFormat="1" applyFont="1" applyBorder="1" applyAlignment="1">
      <alignment horizontal="center" vertical="center" wrapText="1"/>
    </xf>
    <xf numFmtId="4" fontId="40" fillId="0" borderId="9" xfId="1" applyNumberFormat="1" applyFont="1" applyBorder="1" applyAlignment="1">
      <alignment horizontal="center" vertical="center" wrapText="1"/>
    </xf>
    <xf numFmtId="0" fontId="41" fillId="0" borderId="13" xfId="0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vertical="center" wrapText="1"/>
    </xf>
    <xf numFmtId="4" fontId="40" fillId="0" borderId="10" xfId="0" applyNumberFormat="1" applyFont="1" applyFill="1" applyBorder="1" applyAlignment="1">
      <alignment vertical="center" wrapText="1"/>
    </xf>
    <xf numFmtId="4" fontId="40" fillId="0" borderId="10" xfId="0" applyNumberFormat="1" applyFont="1" applyBorder="1" applyAlignment="1">
      <alignment vertical="center" wrapText="1"/>
    </xf>
    <xf numFmtId="4" fontId="39" fillId="0" borderId="10" xfId="1" applyNumberFormat="1" applyFont="1" applyBorder="1" applyAlignment="1">
      <alignment vertical="center" wrapText="1"/>
    </xf>
    <xf numFmtId="4" fontId="39" fillId="0" borderId="10" xfId="0" applyNumberFormat="1" applyFont="1" applyBorder="1" applyAlignment="1">
      <alignment vertical="center" wrapText="1"/>
    </xf>
    <xf numFmtId="4" fontId="40" fillId="0" borderId="10" xfId="1" applyNumberFormat="1" applyFont="1" applyFill="1" applyBorder="1" applyAlignment="1">
      <alignment vertical="center"/>
    </xf>
    <xf numFmtId="4" fontId="40" fillId="0" borderId="10" xfId="1" applyNumberFormat="1" applyFont="1" applyBorder="1" applyAlignment="1">
      <alignment vertical="center" wrapText="1"/>
    </xf>
    <xf numFmtId="4" fontId="40" fillId="0" borderId="11" xfId="0" applyNumberFormat="1" applyFont="1" applyBorder="1" applyAlignment="1">
      <alignment vertical="center" wrapText="1"/>
    </xf>
    <xf numFmtId="2" fontId="40" fillId="0" borderId="9" xfId="0" applyNumberFormat="1" applyFont="1" applyBorder="1" applyAlignment="1">
      <alignment horizontal="center" vertical="center"/>
    </xf>
    <xf numFmtId="0" fontId="39" fillId="2" borderId="9" xfId="0" applyFont="1" applyFill="1" applyBorder="1" applyAlignment="1">
      <alignment vertical="center"/>
    </xf>
    <xf numFmtId="4" fontId="39" fillId="2" borderId="9" xfId="0" applyNumberFormat="1" applyFont="1" applyFill="1" applyBorder="1" applyAlignment="1">
      <alignment vertical="center"/>
    </xf>
    <xf numFmtId="4" fontId="39" fillId="2" borderId="9" xfId="2" applyNumberFormat="1" applyFont="1" applyFill="1" applyBorder="1" applyAlignment="1">
      <alignment vertical="center"/>
    </xf>
    <xf numFmtId="4" fontId="40" fillId="2" borderId="9" xfId="2" applyNumberFormat="1" applyFont="1" applyFill="1" applyBorder="1" applyAlignment="1">
      <alignment vertical="center"/>
    </xf>
    <xf numFmtId="4" fontId="39" fillId="0" borderId="9" xfId="0" applyNumberFormat="1" applyFont="1" applyBorder="1" applyAlignment="1">
      <alignment vertical="center"/>
    </xf>
    <xf numFmtId="4" fontId="40" fillId="0" borderId="9" xfId="0" applyNumberFormat="1" applyFont="1" applyBorder="1" applyAlignment="1">
      <alignment vertical="center"/>
    </xf>
    <xf numFmtId="4" fontId="39" fillId="0" borderId="9" xfId="0" applyNumberFormat="1" applyFont="1" applyFill="1" applyBorder="1" applyAlignment="1">
      <alignment vertical="center"/>
    </xf>
    <xf numFmtId="4" fontId="40" fillId="0" borderId="9" xfId="2" applyNumberFormat="1" applyFont="1" applyBorder="1" applyAlignment="1">
      <alignment vertical="center"/>
    </xf>
    <xf numFmtId="0" fontId="40" fillId="2" borderId="9" xfId="0" applyFont="1" applyFill="1" applyBorder="1" applyAlignment="1">
      <alignment vertical="center"/>
    </xf>
    <xf numFmtId="3" fontId="40" fillId="2" borderId="9" xfId="2" applyNumberFormat="1" applyFont="1" applyFill="1" applyBorder="1" applyAlignment="1">
      <alignment horizontal="center" vertical="center"/>
    </xf>
    <xf numFmtId="3" fontId="40" fillId="0" borderId="9" xfId="2" applyNumberFormat="1" applyFont="1" applyBorder="1" applyAlignment="1">
      <alignment horizontal="center" vertical="center"/>
    </xf>
    <xf numFmtId="4" fontId="40" fillId="0" borderId="9" xfId="2" applyNumberFormat="1" applyFont="1" applyFill="1" applyBorder="1" applyAlignment="1">
      <alignment vertical="center"/>
    </xf>
    <xf numFmtId="4" fontId="39" fillId="0" borderId="9" xfId="2" applyNumberFormat="1" applyFont="1" applyBorder="1" applyAlignment="1">
      <alignment vertical="center"/>
    </xf>
    <xf numFmtId="4" fontId="40" fillId="0" borderId="9" xfId="2" applyNumberFormat="1" applyFont="1" applyBorder="1" applyAlignment="1">
      <alignment horizontal="center" vertical="center"/>
    </xf>
    <xf numFmtId="2" fontId="40" fillId="0" borderId="9" xfId="0" applyNumberFormat="1" applyFont="1" applyBorder="1" applyAlignment="1">
      <alignment vertical="center"/>
    </xf>
    <xf numFmtId="4" fontId="39" fillId="2" borderId="9" xfId="2" applyNumberFormat="1" applyFont="1" applyFill="1" applyBorder="1" applyAlignment="1">
      <alignment horizontal="center" vertical="center"/>
    </xf>
    <xf numFmtId="4" fontId="40" fillId="0" borderId="9" xfId="0" applyNumberFormat="1" applyFont="1" applyFill="1" applyBorder="1" applyAlignment="1">
      <alignment vertical="center"/>
    </xf>
    <xf numFmtId="4" fontId="42" fillId="0" borderId="9" xfId="0" applyNumberFormat="1" applyFont="1" applyBorder="1" applyAlignment="1">
      <alignment vertical="center"/>
    </xf>
    <xf numFmtId="3" fontId="39" fillId="2" borderId="9" xfId="2" applyNumberFormat="1" applyFont="1" applyFill="1" applyBorder="1" applyAlignment="1">
      <alignment horizontal="center" vertical="center"/>
    </xf>
    <xf numFmtId="3" fontId="39" fillId="0" borderId="9" xfId="0" applyNumberFormat="1" applyFont="1" applyBorder="1" applyAlignment="1">
      <alignment vertical="center"/>
    </xf>
    <xf numFmtId="3" fontId="39" fillId="0" borderId="9" xfId="0" applyNumberFormat="1" applyFont="1" applyBorder="1" applyAlignment="1">
      <alignment horizontal="center" vertical="center"/>
    </xf>
    <xf numFmtId="0" fontId="39" fillId="2" borderId="21" xfId="0" applyFont="1" applyFill="1" applyBorder="1" applyAlignment="1">
      <alignment vertical="center"/>
    </xf>
    <xf numFmtId="4" fontId="39" fillId="2" borderId="21" xfId="2" applyNumberFormat="1" applyFont="1" applyFill="1" applyBorder="1" applyAlignment="1">
      <alignment vertical="center"/>
    </xf>
    <xf numFmtId="4" fontId="39" fillId="0" borderId="21" xfId="2" applyNumberFormat="1" applyFont="1" applyBorder="1" applyAlignment="1">
      <alignment vertical="center"/>
    </xf>
    <xf numFmtId="3" fontId="39" fillId="0" borderId="21" xfId="0" applyNumberFormat="1" applyFont="1" applyBorder="1" applyAlignment="1">
      <alignment horizontal="center" vertical="center"/>
    </xf>
    <xf numFmtId="4" fontId="39" fillId="0" borderId="21" xfId="0" applyNumberFormat="1" applyFont="1" applyBorder="1" applyAlignment="1">
      <alignment vertical="center"/>
    </xf>
    <xf numFmtId="0" fontId="40" fillId="0" borderId="2" xfId="0" applyFont="1" applyBorder="1" applyAlignment="1">
      <alignment vertical="center"/>
    </xf>
    <xf numFmtId="0" fontId="39" fillId="2" borderId="3" xfId="0" applyFont="1" applyFill="1" applyBorder="1" applyAlignment="1">
      <alignment vertical="center"/>
    </xf>
    <xf numFmtId="167" fontId="39" fillId="2" borderId="3" xfId="2" applyNumberFormat="1" applyFont="1" applyFill="1" applyBorder="1" applyAlignment="1">
      <alignment vertical="center"/>
    </xf>
    <xf numFmtId="168" fontId="39" fillId="0" borderId="3" xfId="2" applyNumberFormat="1" applyFont="1" applyBorder="1" applyAlignment="1">
      <alignment vertical="center"/>
    </xf>
    <xf numFmtId="3" fontId="39" fillId="0" borderId="3" xfId="0" applyNumberFormat="1" applyFont="1" applyBorder="1" applyAlignment="1">
      <alignment vertical="center"/>
    </xf>
    <xf numFmtId="169" fontId="39" fillId="0" borderId="3" xfId="0" applyNumberFormat="1" applyFont="1" applyBorder="1" applyAlignment="1">
      <alignment vertical="center"/>
    </xf>
    <xf numFmtId="0" fontId="40" fillId="0" borderId="3" xfId="0" applyFont="1" applyFill="1" applyBorder="1" applyAlignment="1">
      <alignment vertical="center"/>
    </xf>
    <xf numFmtId="0" fontId="40" fillId="0" borderId="0" xfId="0" applyFont="1" applyBorder="1" applyAlignment="1">
      <alignment vertical="center"/>
    </xf>
    <xf numFmtId="0" fontId="39" fillId="0" borderId="0" xfId="0" applyFont="1" applyBorder="1" applyAlignment="1">
      <alignment vertical="center"/>
    </xf>
    <xf numFmtId="0" fontId="39" fillId="0" borderId="0" xfId="0" applyFont="1" applyFill="1" applyBorder="1" applyAlignment="1">
      <alignment vertical="center"/>
    </xf>
    <xf numFmtId="169" fontId="40" fillId="0" borderId="8" xfId="0" applyNumberFormat="1" applyFont="1" applyBorder="1" applyAlignment="1">
      <alignment vertical="center"/>
    </xf>
    <xf numFmtId="0" fontId="40" fillId="0" borderId="1" xfId="0" applyFont="1" applyBorder="1" applyAlignment="1">
      <alignment vertical="center"/>
    </xf>
    <xf numFmtId="0" fontId="40" fillId="0" borderId="1" xfId="0" applyFont="1" applyFill="1" applyBorder="1" applyAlignment="1">
      <alignment horizontal="left" vertical="center"/>
    </xf>
    <xf numFmtId="0" fontId="40" fillId="0" borderId="0" xfId="0" applyFont="1" applyFill="1" applyBorder="1" applyAlignment="1">
      <alignment horizontal="left" vertical="center"/>
    </xf>
    <xf numFmtId="168" fontId="39" fillId="0" borderId="3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169" fontId="39" fillId="0" borderId="7" xfId="0" applyNumberFormat="1" applyFont="1" applyBorder="1" applyAlignment="1">
      <alignment vertical="center"/>
    </xf>
    <xf numFmtId="0" fontId="39" fillId="0" borderId="1" xfId="0" applyFont="1" applyBorder="1" applyAlignment="1">
      <alignment vertical="center"/>
    </xf>
    <xf numFmtId="0" fontId="40" fillId="0" borderId="0" xfId="0" applyFont="1" applyFill="1" applyBorder="1" applyAlignment="1">
      <alignment vertical="center"/>
    </xf>
    <xf numFmtId="168" fontId="39" fillId="0" borderId="0" xfId="0" applyNumberFormat="1" applyFont="1" applyBorder="1" applyAlignment="1">
      <alignment vertical="center"/>
    </xf>
    <xf numFmtId="169" fontId="39" fillId="0" borderId="0" xfId="0" applyNumberFormat="1" applyFont="1" applyBorder="1" applyAlignment="1">
      <alignment vertical="center"/>
    </xf>
    <xf numFmtId="169" fontId="39" fillId="0" borderId="8" xfId="0" applyNumberFormat="1" applyFont="1" applyBorder="1" applyAlignment="1">
      <alignment vertical="center"/>
    </xf>
    <xf numFmtId="168" fontId="40" fillId="0" borderId="0" xfId="0" applyNumberFormat="1" applyFont="1" applyBorder="1" applyAlignment="1">
      <alignment vertical="center"/>
    </xf>
    <xf numFmtId="169" fontId="40" fillId="0" borderId="0" xfId="0" applyNumberFormat="1" applyFont="1" applyBorder="1" applyAlignment="1">
      <alignment vertical="center"/>
    </xf>
    <xf numFmtId="0" fontId="40" fillId="0" borderId="4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168" fontId="40" fillId="0" borderId="5" xfId="0" applyNumberFormat="1" applyFont="1" applyBorder="1" applyAlignment="1">
      <alignment vertical="center"/>
    </xf>
    <xf numFmtId="169" fontId="40" fillId="0" borderId="5" xfId="0" applyNumberFormat="1" applyFont="1" applyBorder="1" applyAlignment="1">
      <alignment vertical="center"/>
    </xf>
    <xf numFmtId="0" fontId="39" fillId="0" borderId="5" xfId="0" applyFont="1" applyFill="1" applyBorder="1" applyAlignment="1">
      <alignment vertical="center"/>
    </xf>
    <xf numFmtId="16" fontId="40" fillId="0" borderId="5" xfId="0" applyNumberFormat="1" applyFont="1" applyBorder="1" applyAlignment="1">
      <alignment vertical="center"/>
    </xf>
    <xf numFmtId="169" fontId="40" fillId="0" borderId="6" xfId="0" applyNumberFormat="1" applyFont="1" applyBorder="1" applyAlignment="1">
      <alignment vertical="center"/>
    </xf>
    <xf numFmtId="169" fontId="39" fillId="0" borderId="14" xfId="0" applyNumberFormat="1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 shrinkToFit="1"/>
    </xf>
    <xf numFmtId="0" fontId="39" fillId="0" borderId="7" xfId="0" applyFont="1" applyBorder="1" applyAlignment="1">
      <alignment horizontal="center" vertical="center" wrapText="1" shrinkToFit="1"/>
    </xf>
    <xf numFmtId="168" fontId="39" fillId="0" borderId="21" xfId="0" applyNumberFormat="1" applyFont="1" applyBorder="1" applyAlignment="1">
      <alignment horizontal="center" vertical="center" wrapText="1" shrinkToFit="1"/>
    </xf>
    <xf numFmtId="0" fontId="39" fillId="0" borderId="9" xfId="0" applyFont="1" applyBorder="1" applyAlignment="1">
      <alignment horizontal="center" vertical="center" wrapText="1" shrinkToFit="1"/>
    </xf>
    <xf numFmtId="0" fontId="39" fillId="0" borderId="14" xfId="0" applyFont="1" applyBorder="1" applyAlignment="1">
      <alignment horizontal="center" vertical="center" wrapText="1" shrinkToFit="1"/>
    </xf>
    <xf numFmtId="0" fontId="39" fillId="0" borderId="9" xfId="0" applyFont="1" applyFill="1" applyBorder="1" applyAlignment="1">
      <alignment horizontal="center" vertical="center" wrapText="1" shrinkToFit="1"/>
    </xf>
    <xf numFmtId="0" fontId="38" fillId="0" borderId="0" xfId="0" applyFont="1" applyAlignment="1">
      <alignment vertical="center" wrapText="1" shrinkToFit="1"/>
    </xf>
    <xf numFmtId="0" fontId="21" fillId="0" borderId="0" xfId="0" applyFont="1" applyBorder="1" applyAlignment="1">
      <alignment vertical="center" wrapText="1" shrinkToFit="1"/>
    </xf>
    <xf numFmtId="0" fontId="37" fillId="0" borderId="0" xfId="0" applyFont="1" applyAlignment="1">
      <alignment vertical="center" wrapText="1" shrinkToFit="1"/>
    </xf>
    <xf numFmtId="0" fontId="12" fillId="0" borderId="1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169" fontId="4" fillId="2" borderId="13" xfId="0" applyNumberFormat="1" applyFont="1" applyFill="1" applyBorder="1" applyAlignment="1">
      <alignment horizontal="center"/>
    </xf>
    <xf numFmtId="169" fontId="4" fillId="2" borderId="10" xfId="0" applyNumberFormat="1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165" fontId="3" fillId="2" borderId="0" xfId="2" applyNumberFormat="1" applyFont="1" applyFill="1" applyBorder="1" applyAlignment="1">
      <alignment horizontal="center"/>
    </xf>
    <xf numFmtId="169" fontId="3" fillId="2" borderId="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0" fillId="0" borderId="7" xfId="0" applyBorder="1"/>
    <xf numFmtId="0" fontId="5" fillId="0" borderId="4" xfId="0" applyFont="1" applyBorder="1" applyAlignment="1">
      <alignment horizontal="center"/>
    </xf>
    <xf numFmtId="0" fontId="0" fillId="0" borderId="6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9" fillId="0" borderId="12" xfId="0" applyFont="1" applyBorder="1" applyAlignment="1">
      <alignment horizontal="center" vertical="center" wrapText="1"/>
    </xf>
    <xf numFmtId="0" fontId="40" fillId="0" borderId="2" xfId="0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3" fontId="40" fillId="2" borderId="9" xfId="2" applyNumberFormat="1" applyFont="1" applyFill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39" fillId="0" borderId="3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39" fillId="0" borderId="8" xfId="0" applyFont="1" applyBorder="1" applyAlignment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40" fillId="0" borderId="2" xfId="0" applyNumberFormat="1" applyFont="1" applyBorder="1" applyAlignment="1" applyProtection="1">
      <alignment vertical="center" wrapText="1"/>
      <protection locked="0"/>
    </xf>
    <xf numFmtId="0" fontId="40" fillId="0" borderId="3" xfId="0" applyNumberFormat="1" applyFont="1" applyBorder="1" applyAlignment="1" applyProtection="1">
      <alignment vertical="center"/>
      <protection locked="0"/>
    </xf>
    <xf numFmtId="0" fontId="40" fillId="0" borderId="7" xfId="0" applyNumberFormat="1" applyFont="1" applyBorder="1" applyAlignment="1" applyProtection="1">
      <alignment vertical="center"/>
      <protection locked="0"/>
    </xf>
    <xf numFmtId="0" fontId="40" fillId="0" borderId="4" xfId="0" applyNumberFormat="1" applyFont="1" applyBorder="1" applyAlignment="1" applyProtection="1">
      <alignment vertical="center"/>
      <protection locked="0"/>
    </xf>
    <xf numFmtId="0" fontId="40" fillId="0" borderId="5" xfId="0" applyNumberFormat="1" applyFont="1" applyBorder="1" applyAlignment="1" applyProtection="1">
      <alignment vertical="center"/>
      <protection locked="0"/>
    </xf>
    <xf numFmtId="0" fontId="40" fillId="0" borderId="6" xfId="0" applyNumberFormat="1" applyFont="1" applyBorder="1" applyAlignment="1" applyProtection="1">
      <alignment vertical="center"/>
      <protection locked="0"/>
    </xf>
    <xf numFmtId="0" fontId="40" fillId="0" borderId="2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40" fillId="0" borderId="13" xfId="0" applyFont="1" applyBorder="1" applyAlignment="1">
      <alignment vertical="center"/>
    </xf>
    <xf numFmtId="0" fontId="40" fillId="0" borderId="10" xfId="0" applyFont="1" applyBorder="1" applyAlignment="1">
      <alignment vertical="center"/>
    </xf>
    <xf numFmtId="0" fontId="40" fillId="0" borderId="13" xfId="0" applyFont="1" applyBorder="1" applyAlignment="1">
      <alignment horizontal="left" vertical="center"/>
    </xf>
    <xf numFmtId="0" fontId="40" fillId="0" borderId="10" xfId="0" applyFont="1" applyBorder="1" applyAlignment="1">
      <alignment horizontal="left" vertical="center"/>
    </xf>
    <xf numFmtId="0" fontId="40" fillId="0" borderId="1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39" fillId="0" borderId="2" xfId="0" applyFont="1" applyBorder="1" applyAlignment="1">
      <alignment horizontal="left" vertical="center"/>
    </xf>
    <xf numFmtId="0" fontId="39" fillId="0" borderId="3" xfId="0" applyFont="1" applyBorder="1" applyAlignment="1">
      <alignment horizontal="left" vertical="center"/>
    </xf>
    <xf numFmtId="4" fontId="39" fillId="0" borderId="13" xfId="0" applyNumberFormat="1" applyFont="1" applyBorder="1" applyAlignment="1">
      <alignment horizontal="left" vertical="center"/>
    </xf>
    <xf numFmtId="4" fontId="39" fillId="0" borderId="10" xfId="0" applyNumberFormat="1" applyFont="1" applyBorder="1" applyAlignment="1">
      <alignment horizontal="left" vertical="center"/>
    </xf>
    <xf numFmtId="4" fontId="39" fillId="0" borderId="11" xfId="0" applyNumberFormat="1" applyFont="1" applyBorder="1" applyAlignment="1">
      <alignment horizontal="left" vertical="center"/>
    </xf>
    <xf numFmtId="0" fontId="40" fillId="0" borderId="1" xfId="0" applyFont="1" applyFill="1" applyBorder="1" applyAlignment="1">
      <alignment horizontal="left" vertical="center"/>
    </xf>
    <xf numFmtId="0" fontId="40" fillId="0" borderId="0" xfId="0" applyFont="1" applyFill="1" applyBorder="1" applyAlignment="1">
      <alignment horizontal="left" vertical="center"/>
    </xf>
    <xf numFmtId="4" fontId="40" fillId="0" borderId="13" xfId="0" applyNumberFormat="1" applyFont="1" applyBorder="1" applyAlignment="1">
      <alignment horizontal="left" vertical="center" wrapText="1"/>
    </xf>
    <xf numFmtId="4" fontId="40" fillId="0" borderId="10" xfId="0" applyNumberFormat="1" applyFont="1" applyBorder="1" applyAlignment="1">
      <alignment horizontal="left" vertical="center" wrapText="1"/>
    </xf>
    <xf numFmtId="4" fontId="39" fillId="0" borderId="13" xfId="0" applyNumberFormat="1" applyFont="1" applyBorder="1" applyAlignment="1">
      <alignment horizontal="left" vertical="center" wrapText="1"/>
    </xf>
    <xf numFmtId="4" fontId="39" fillId="0" borderId="10" xfId="0" applyNumberFormat="1" applyFont="1" applyBorder="1" applyAlignment="1">
      <alignment horizontal="left" vertical="center" wrapText="1"/>
    </xf>
    <xf numFmtId="0" fontId="40" fillId="0" borderId="8" xfId="0" applyFont="1" applyFill="1" applyBorder="1" applyAlignment="1">
      <alignment horizontal="left" vertical="center"/>
    </xf>
    <xf numFmtId="0" fontId="39" fillId="0" borderId="9" xfId="0" applyFont="1" applyBorder="1" applyAlignment="1">
      <alignment vertical="center" wrapText="1"/>
    </xf>
    <xf numFmtId="0" fontId="40" fillId="0" borderId="9" xfId="0" applyFont="1" applyBorder="1" applyAlignment="1">
      <alignment vertical="center" wrapText="1"/>
    </xf>
    <xf numFmtId="0" fontId="40" fillId="0" borderId="21" xfId="0" applyFont="1" applyBorder="1" applyAlignment="1">
      <alignment vertical="center" wrapText="1"/>
    </xf>
    <xf numFmtId="4" fontId="40" fillId="0" borderId="13" xfId="0" applyNumberFormat="1" applyFont="1" applyBorder="1" applyAlignment="1">
      <alignment vertical="center" wrapText="1"/>
    </xf>
    <xf numFmtId="4" fontId="40" fillId="0" borderId="10" xfId="0" applyNumberFormat="1" applyFont="1" applyBorder="1" applyAlignment="1">
      <alignment vertical="center" wrapText="1"/>
    </xf>
    <xf numFmtId="4" fontId="40" fillId="0" borderId="11" xfId="0" applyNumberFormat="1" applyFont="1" applyBorder="1" applyAlignment="1">
      <alignment vertical="center" wrapText="1"/>
    </xf>
    <xf numFmtId="3" fontId="40" fillId="2" borderId="9" xfId="0" applyNumberFormat="1" applyFont="1" applyFill="1" applyBorder="1" applyAlignment="1">
      <alignment horizontal="center" vertical="center"/>
    </xf>
    <xf numFmtId="3" fontId="39" fillId="2" borderId="9" xfId="0" applyNumberFormat="1" applyFont="1" applyFill="1" applyBorder="1" applyAlignment="1">
      <alignment horizontal="center" vertical="center"/>
    </xf>
    <xf numFmtId="0" fontId="40" fillId="0" borderId="12" xfId="0" applyFont="1" applyBorder="1" applyAlignment="1">
      <alignment vertical="center" wrapText="1"/>
    </xf>
    <xf numFmtId="0" fontId="40" fillId="0" borderId="13" xfId="0" applyFont="1" applyBorder="1" applyAlignment="1">
      <alignment vertical="center" wrapText="1"/>
    </xf>
    <xf numFmtId="0" fontId="40" fillId="0" borderId="10" xfId="0" applyFont="1" applyBorder="1" applyAlignment="1">
      <alignment vertical="center" wrapText="1"/>
    </xf>
    <xf numFmtId="0" fontId="40" fillId="0" borderId="11" xfId="0" applyFont="1" applyBorder="1" applyAlignment="1">
      <alignment vertical="center" wrapText="1"/>
    </xf>
    <xf numFmtId="3" fontId="40" fillId="2" borderId="13" xfId="2" applyNumberFormat="1" applyFont="1" applyFill="1" applyBorder="1" applyAlignment="1">
      <alignment horizontal="center" vertical="center" wrapText="1"/>
    </xf>
    <xf numFmtId="3" fontId="40" fillId="2" borderId="11" xfId="2" applyNumberFormat="1" applyFont="1" applyFill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/>
    </xf>
    <xf numFmtId="4" fontId="40" fillId="0" borderId="13" xfId="0" applyNumberFormat="1" applyFont="1" applyBorder="1" applyAlignment="1">
      <alignment vertical="center"/>
    </xf>
    <xf numFmtId="4" fontId="40" fillId="0" borderId="11" xfId="0" applyNumberFormat="1" applyFont="1" applyBorder="1" applyAlignment="1">
      <alignment vertical="center"/>
    </xf>
    <xf numFmtId="0" fontId="39" fillId="0" borderId="13" xfId="0" applyFont="1" applyBorder="1" applyAlignment="1">
      <alignment horizontal="center" vertical="center"/>
    </xf>
    <xf numFmtId="0" fontId="39" fillId="0" borderId="13" xfId="0" applyFont="1" applyFill="1" applyBorder="1" applyAlignment="1">
      <alignment horizontal="center" vertical="center"/>
    </xf>
    <xf numFmtId="0" fontId="39" fillId="0" borderId="11" xfId="0" applyFont="1" applyFill="1" applyBorder="1" applyAlignment="1">
      <alignment horizontal="center" vertical="center"/>
    </xf>
  </cellXfs>
  <cellStyles count="3">
    <cellStyle name="Millares" xfId="1" builtinId="3"/>
    <cellStyle name="Millares [0]" xfId="2" builtinId="6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13" sqref="D13"/>
    </sheetView>
  </sheetViews>
  <sheetFormatPr baseColWidth="10" defaultRowHeight="12.75"/>
  <sheetData/>
  <phoneticPr fontId="28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V75"/>
  <sheetViews>
    <sheetView view="pageBreakPreview" topLeftCell="B7" workbookViewId="0">
      <pane xSplit="4605" ySplit="1065" topLeftCell="I45" activePane="bottomRight"/>
      <selection activeCell="I48" sqref="I48"/>
      <selection pane="topRight" activeCell="B7" sqref="B7"/>
      <selection pane="bottomLeft" activeCell="B37" sqref="B37"/>
      <selection pane="bottomRight" activeCell="J56" sqref="J56"/>
    </sheetView>
  </sheetViews>
  <sheetFormatPr baseColWidth="10" defaultRowHeight="13.5"/>
  <cols>
    <col min="1" max="1" width="4.7109375" customWidth="1"/>
    <col min="2" max="2" width="41" customWidth="1"/>
    <col min="3" max="3" width="5.5703125" style="118" customWidth="1"/>
    <col min="4" max="4" width="9.7109375" style="38" customWidth="1"/>
    <col min="5" max="5" width="13.5703125" customWidth="1"/>
    <col min="6" max="6" width="13.140625" style="24" customWidth="1"/>
    <col min="7" max="7" width="10.140625" customWidth="1"/>
    <col min="8" max="8" width="13.42578125" customWidth="1"/>
    <col min="9" max="9" width="13.140625" style="155" customWidth="1"/>
    <col min="10" max="10" width="13.140625" customWidth="1"/>
    <col min="11" max="11" width="13.7109375" customWidth="1"/>
    <col min="12" max="12" width="14.28515625" customWidth="1"/>
    <col min="13" max="13" width="17.42578125" bestFit="1" customWidth="1"/>
    <col min="14" max="14" width="12.140625" bestFit="1" customWidth="1"/>
    <col min="21" max="21" width="15.7109375" style="124" customWidth="1"/>
    <col min="22" max="22" width="13.7109375" bestFit="1" customWidth="1"/>
  </cols>
  <sheetData>
    <row r="1" spans="1:21">
      <c r="A1" s="171" t="s">
        <v>27</v>
      </c>
      <c r="B1" s="172"/>
      <c r="C1" s="191" t="s">
        <v>5</v>
      </c>
      <c r="D1" s="50"/>
      <c r="E1" s="51"/>
      <c r="F1" s="52"/>
      <c r="G1" s="51"/>
      <c r="H1" s="79" t="s">
        <v>23</v>
      </c>
      <c r="I1" s="142"/>
      <c r="J1" s="49"/>
      <c r="K1" s="53"/>
      <c r="L1" s="48"/>
    </row>
    <row r="2" spans="1:21">
      <c r="A2" s="54" t="s">
        <v>25</v>
      </c>
      <c r="B2" s="55"/>
      <c r="C2" s="82" t="s">
        <v>6</v>
      </c>
      <c r="D2" s="56"/>
      <c r="E2" s="188" t="s">
        <v>7</v>
      </c>
      <c r="F2" s="58"/>
      <c r="G2" s="57"/>
      <c r="H2" s="173" t="s">
        <v>3</v>
      </c>
      <c r="I2" s="158" t="s">
        <v>12</v>
      </c>
      <c r="J2" s="392" t="s">
        <v>14</v>
      </c>
      <c r="K2" s="393"/>
      <c r="L2" s="394"/>
    </row>
    <row r="3" spans="1:21" ht="14.25">
      <c r="A3" s="375"/>
      <c r="B3" s="376"/>
      <c r="C3" s="189" t="s">
        <v>9</v>
      </c>
      <c r="D3" s="56"/>
      <c r="E3" s="57"/>
      <c r="F3" s="58"/>
      <c r="G3" s="77"/>
      <c r="H3" s="173" t="s">
        <v>67</v>
      </c>
      <c r="I3" s="158" t="s">
        <v>74</v>
      </c>
      <c r="J3" s="392" t="s">
        <v>15</v>
      </c>
      <c r="K3" s="393"/>
      <c r="L3" s="394"/>
    </row>
    <row r="4" spans="1:21" ht="14.25">
      <c r="A4" s="375"/>
      <c r="B4" s="376"/>
      <c r="C4" s="189" t="s">
        <v>10</v>
      </c>
      <c r="D4" s="56"/>
      <c r="E4" s="57"/>
      <c r="F4" s="58"/>
      <c r="G4" s="57"/>
      <c r="H4" s="174" t="s">
        <v>68</v>
      </c>
      <c r="I4" s="158" t="s">
        <v>75</v>
      </c>
      <c r="J4" s="398" t="s">
        <v>77</v>
      </c>
      <c r="K4" s="399"/>
      <c r="L4" s="400"/>
    </row>
    <row r="5" spans="1:21" ht="14.25">
      <c r="A5" s="375" t="s">
        <v>69</v>
      </c>
      <c r="B5" s="376"/>
      <c r="C5" s="189" t="s">
        <v>11</v>
      </c>
      <c r="D5" s="56"/>
      <c r="E5" s="57"/>
      <c r="F5" s="58"/>
      <c r="G5" s="57"/>
      <c r="H5" s="173" t="s">
        <v>76</v>
      </c>
      <c r="I5" s="158"/>
      <c r="J5" s="398" t="s">
        <v>78</v>
      </c>
      <c r="K5" s="399"/>
      <c r="L5" s="400"/>
    </row>
    <row r="6" spans="1:21" ht="14.25">
      <c r="A6" s="379" t="s">
        <v>4</v>
      </c>
      <c r="B6" s="380"/>
      <c r="C6" s="190" t="s">
        <v>8</v>
      </c>
      <c r="D6" s="60"/>
      <c r="E6" s="61"/>
      <c r="F6" s="62"/>
      <c r="G6" s="59"/>
      <c r="H6" s="80" t="s">
        <v>13</v>
      </c>
      <c r="I6" s="143"/>
      <c r="J6" s="395"/>
      <c r="K6" s="396"/>
      <c r="L6" s="397"/>
    </row>
    <row r="7" spans="1:21" ht="12.75" customHeight="1">
      <c r="A7" s="54" t="s">
        <v>28</v>
      </c>
      <c r="B7" s="63"/>
      <c r="C7" s="111"/>
      <c r="D7" s="64"/>
      <c r="E7" s="63"/>
      <c r="F7" s="65"/>
      <c r="G7" s="386" t="s">
        <v>29</v>
      </c>
      <c r="H7" s="387"/>
      <c r="I7" s="383" t="s">
        <v>30</v>
      </c>
      <c r="J7" s="384"/>
      <c r="K7" s="384"/>
      <c r="L7" s="385"/>
    </row>
    <row r="8" spans="1:21" ht="12.75" customHeight="1">
      <c r="A8" s="67"/>
      <c r="B8" s="68"/>
      <c r="C8" s="112"/>
      <c r="D8" s="69"/>
      <c r="E8" s="68"/>
      <c r="F8" s="70"/>
      <c r="G8" s="388" t="s">
        <v>149</v>
      </c>
      <c r="H8" s="389"/>
      <c r="I8" s="144" t="s">
        <v>31</v>
      </c>
      <c r="J8" s="66"/>
      <c r="K8" s="71" t="s">
        <v>32</v>
      </c>
      <c r="L8" s="66"/>
      <c r="N8" s="235"/>
    </row>
    <row r="9" spans="1:21">
      <c r="A9" s="72" t="s">
        <v>33</v>
      </c>
      <c r="B9" s="66" t="s">
        <v>34</v>
      </c>
      <c r="C9" s="113" t="s">
        <v>35</v>
      </c>
      <c r="D9" s="73" t="s">
        <v>36</v>
      </c>
      <c r="E9" s="72" t="s">
        <v>37</v>
      </c>
      <c r="F9" s="74" t="s">
        <v>38</v>
      </c>
      <c r="G9" s="75" t="s">
        <v>39</v>
      </c>
      <c r="H9" s="75" t="s">
        <v>40</v>
      </c>
      <c r="I9" s="145" t="s">
        <v>39</v>
      </c>
      <c r="J9" s="72" t="s">
        <v>41</v>
      </c>
      <c r="K9" s="72" t="s">
        <v>42</v>
      </c>
      <c r="L9" s="72" t="s">
        <v>41</v>
      </c>
    </row>
    <row r="10" spans="1:21" ht="12.75">
      <c r="A10" s="192">
        <v>1</v>
      </c>
      <c r="B10" s="195" t="s">
        <v>43</v>
      </c>
      <c r="C10" s="164"/>
      <c r="D10" s="159"/>
      <c r="E10" s="81"/>
      <c r="F10" s="81"/>
      <c r="G10" s="85"/>
      <c r="H10" s="19"/>
      <c r="I10" s="18"/>
      <c r="J10" s="19"/>
      <c r="K10" s="17"/>
      <c r="L10" s="19"/>
      <c r="M10" s="177" t="s">
        <v>130</v>
      </c>
      <c r="Q10" s="229" t="s">
        <v>129</v>
      </c>
      <c r="R10" s="230"/>
    </row>
    <row r="11" spans="1:21" ht="12.75">
      <c r="A11" s="192">
        <f>+A10+0.01</f>
        <v>1.01</v>
      </c>
      <c r="B11" s="195" t="s">
        <v>87</v>
      </c>
      <c r="C11" s="164" t="s">
        <v>64</v>
      </c>
      <c r="D11" s="159">
        <v>18</v>
      </c>
      <c r="E11" s="81">
        <v>3500</v>
      </c>
      <c r="F11" s="81">
        <f t="shared" ref="F11:F20" si="0">+D11*E11</f>
        <v>63000</v>
      </c>
      <c r="G11" s="85">
        <f t="shared" ref="G11:G20" si="1">SUM(K11-D11)</f>
        <v>-0.29820000000000135</v>
      </c>
      <c r="H11" s="19">
        <f t="shared" ref="H11:H20" si="2">E11*G11</f>
        <v>-1043.7000000000048</v>
      </c>
      <c r="I11" s="18">
        <f>3.5*2.55+2.07*2.1+2.07*2.14</f>
        <v>17.701799999999999</v>
      </c>
      <c r="J11" s="19">
        <f>E11*I11</f>
        <v>61956.299999999996</v>
      </c>
      <c r="K11" s="17">
        <f>I11</f>
        <v>17.701799999999999</v>
      </c>
      <c r="L11" s="19">
        <f>E11*K11</f>
        <v>61956.299999999996</v>
      </c>
      <c r="M11" t="s">
        <v>121</v>
      </c>
      <c r="Q11" s="186" t="s">
        <v>122</v>
      </c>
      <c r="R11" s="186"/>
      <c r="S11" s="228">
        <f>0.8*2.16</f>
        <v>1.7280000000000002</v>
      </c>
      <c r="U11" s="124">
        <f>S11*E11</f>
        <v>6048.0000000000009</v>
      </c>
    </row>
    <row r="12" spans="1:21" ht="12.75">
      <c r="A12" s="192">
        <f>+A11+0.01</f>
        <v>1.02</v>
      </c>
      <c r="B12" s="195" t="s">
        <v>88</v>
      </c>
      <c r="C12" s="164" t="s">
        <v>64</v>
      </c>
      <c r="D12" s="159">
        <v>6</v>
      </c>
      <c r="E12" s="81">
        <v>3000</v>
      </c>
      <c r="F12" s="81">
        <f t="shared" si="0"/>
        <v>18000</v>
      </c>
      <c r="G12" s="17">
        <f t="shared" si="1"/>
        <v>-2.4030000000000005</v>
      </c>
      <c r="H12" s="19">
        <f t="shared" si="2"/>
        <v>-7209.0000000000018</v>
      </c>
      <c r="I12" s="18">
        <f>(1.9*1.03)+(8.2*0.2)</f>
        <v>3.5969999999999995</v>
      </c>
      <c r="J12" s="19">
        <f t="shared" ref="J12:J31" si="3">E12*I12</f>
        <v>10790.999999999998</v>
      </c>
      <c r="K12" s="17">
        <f>I12</f>
        <v>3.5969999999999995</v>
      </c>
      <c r="L12" s="19">
        <f>E12*K12</f>
        <v>10790.999999999998</v>
      </c>
      <c r="M12" t="s">
        <v>123</v>
      </c>
    </row>
    <row r="13" spans="1:21" ht="12.75">
      <c r="A13" s="192">
        <f>A10+1</f>
        <v>2</v>
      </c>
      <c r="B13" s="195" t="s">
        <v>89</v>
      </c>
      <c r="C13" s="164"/>
      <c r="D13" s="159"/>
      <c r="E13" s="81"/>
      <c r="F13" s="81"/>
      <c r="G13" s="17"/>
      <c r="H13" s="19"/>
      <c r="I13" s="18"/>
      <c r="J13" s="19">
        <f t="shared" si="3"/>
        <v>0</v>
      </c>
      <c r="K13" s="17"/>
      <c r="L13" s="19"/>
    </row>
    <row r="14" spans="1:21" s="198" customFormat="1" ht="24" customHeight="1">
      <c r="A14" s="196">
        <f>A13+0.01</f>
        <v>2.0099999999999998</v>
      </c>
      <c r="B14" s="197" t="s">
        <v>90</v>
      </c>
      <c r="C14" s="180" t="s">
        <v>44</v>
      </c>
      <c r="D14" s="179">
        <v>10</v>
      </c>
      <c r="E14" s="182">
        <v>19000</v>
      </c>
      <c r="F14" s="182">
        <f t="shared" si="0"/>
        <v>190000</v>
      </c>
      <c r="G14" s="185">
        <f t="shared" si="1"/>
        <v>-1.8000000000000007</v>
      </c>
      <c r="H14" s="183">
        <f t="shared" si="2"/>
        <v>-34200.000000000015</v>
      </c>
      <c r="I14" s="202">
        <v>8.1999999999999993</v>
      </c>
      <c r="J14" s="19">
        <f t="shared" si="3"/>
        <v>155800</v>
      </c>
      <c r="K14" s="204">
        <f>I14</f>
        <v>8.1999999999999993</v>
      </c>
      <c r="L14" s="203">
        <f>E14*K14</f>
        <v>155800</v>
      </c>
      <c r="M14" s="390" t="s">
        <v>124</v>
      </c>
      <c r="N14" s="391"/>
      <c r="U14" s="232"/>
    </row>
    <row r="15" spans="1:21" ht="12.75">
      <c r="A15" s="192">
        <f>A14+0.01</f>
        <v>2.0199999999999996</v>
      </c>
      <c r="B15" s="195" t="s">
        <v>0</v>
      </c>
      <c r="C15" s="164" t="s">
        <v>45</v>
      </c>
      <c r="D15" s="159">
        <v>50</v>
      </c>
      <c r="E15" s="81">
        <v>2100</v>
      </c>
      <c r="F15" s="81">
        <f t="shared" si="0"/>
        <v>105000</v>
      </c>
      <c r="G15" s="17">
        <f t="shared" si="1"/>
        <v>-1.3248000000000033</v>
      </c>
      <c r="H15" s="19">
        <f t="shared" si="2"/>
        <v>-2782.0800000000067</v>
      </c>
      <c r="I15" s="18">
        <f>((0.08*2+0.16*2+0.07*2)*41*0.56)+8.2*4*1*1.05</f>
        <v>48.675199999999997</v>
      </c>
      <c r="J15" s="19">
        <f t="shared" si="3"/>
        <v>102217.92</v>
      </c>
      <c r="K15" s="17">
        <f>I15</f>
        <v>48.675199999999997</v>
      </c>
      <c r="L15" s="19">
        <f>E15*K15</f>
        <v>102217.92</v>
      </c>
      <c r="M15" t="s">
        <v>125</v>
      </c>
    </row>
    <row r="16" spans="1:21" ht="12.75">
      <c r="A16" s="192">
        <f>A13+1</f>
        <v>3</v>
      </c>
      <c r="B16" s="195" t="s">
        <v>47</v>
      </c>
      <c r="C16" s="164"/>
      <c r="D16" s="159"/>
      <c r="E16" s="81"/>
      <c r="F16" s="81"/>
      <c r="G16" s="17"/>
      <c r="H16" s="19"/>
      <c r="I16" s="18"/>
      <c r="J16" s="19">
        <f t="shared" si="3"/>
        <v>0</v>
      </c>
      <c r="K16" s="17"/>
      <c r="L16" s="19"/>
    </row>
    <row r="17" spans="1:21" ht="24">
      <c r="A17" s="199">
        <f>A16+0.01</f>
        <v>3.01</v>
      </c>
      <c r="B17" s="197" t="s">
        <v>91</v>
      </c>
      <c r="C17" s="206" t="s">
        <v>64</v>
      </c>
      <c r="D17" s="179">
        <v>20</v>
      </c>
      <c r="E17" s="182">
        <v>31000</v>
      </c>
      <c r="F17" s="182">
        <f>+D17*E17</f>
        <v>620000</v>
      </c>
      <c r="G17" s="185">
        <f>SUM(K17-D17)</f>
        <v>-1.5435000000000016</v>
      </c>
      <c r="H17" s="183">
        <f>E17*G17</f>
        <v>-47848.500000000051</v>
      </c>
      <c r="I17" s="202">
        <f>(2.78+1.64)*0.6-(1*0.5)+(0.79*0.81)+(3.48*0.1)+((0.1+0.11)*0.71)+((2.78+1.64)*0.25)+ (3.75*3.75)</f>
        <v>18.456499999999998</v>
      </c>
      <c r="J17" s="19">
        <f t="shared" si="3"/>
        <v>572151.5</v>
      </c>
      <c r="K17" s="204">
        <f>I17</f>
        <v>18.456499999999998</v>
      </c>
      <c r="L17" s="203">
        <f>E17*K17</f>
        <v>572151.5</v>
      </c>
      <c r="M17" t="s">
        <v>126</v>
      </c>
      <c r="Q17" s="186" t="s">
        <v>142</v>
      </c>
      <c r="S17" s="186">
        <f>2*0.81+2*0.1</f>
        <v>1.82</v>
      </c>
      <c r="U17" s="124">
        <f>S17*E17</f>
        <v>56420</v>
      </c>
    </row>
    <row r="18" spans="1:21" ht="12.75">
      <c r="A18" s="192">
        <f>A17+0.01</f>
        <v>3.0199999999999996</v>
      </c>
      <c r="B18" s="195" t="s">
        <v>92</v>
      </c>
      <c r="C18" s="206" t="s">
        <v>64</v>
      </c>
      <c r="D18" s="159">
        <v>59</v>
      </c>
      <c r="E18" s="81">
        <v>33000</v>
      </c>
      <c r="F18" s="81">
        <f>+D18*E18</f>
        <v>1947000</v>
      </c>
      <c r="G18" s="17">
        <f>SUM(K18-D18)</f>
        <v>-59</v>
      </c>
      <c r="H18" s="19">
        <f>E18*G18</f>
        <v>-1947000</v>
      </c>
      <c r="I18" s="18">
        <v>0</v>
      </c>
      <c r="J18" s="19">
        <f t="shared" si="3"/>
        <v>0</v>
      </c>
      <c r="K18" s="17">
        <f>I18</f>
        <v>0</v>
      </c>
      <c r="L18" s="19">
        <f>E18*K18</f>
        <v>0</v>
      </c>
    </row>
    <row r="19" spans="1:21" ht="12.75">
      <c r="A19" s="192">
        <f>A18+0.01</f>
        <v>3.0299999999999994</v>
      </c>
      <c r="B19" s="195" t="s">
        <v>26</v>
      </c>
      <c r="C19" s="164" t="s">
        <v>44</v>
      </c>
      <c r="D19" s="159">
        <v>44</v>
      </c>
      <c r="E19" s="81">
        <v>6000</v>
      </c>
      <c r="F19" s="81">
        <f>+D19*E19</f>
        <v>264000</v>
      </c>
      <c r="G19" s="17">
        <f>SUM(K19-D19)</f>
        <v>-23.31</v>
      </c>
      <c r="H19" s="19">
        <f>E19*G19</f>
        <v>-139860</v>
      </c>
      <c r="I19" s="18">
        <f>0.54+4.33+2+0.99+0.72+0.71+0.71+0.71+0.95+0.71+0.32+0.37+(0.79*5)+0.8+1.08+1.8</f>
        <v>20.69</v>
      </c>
      <c r="J19" s="19">
        <f t="shared" si="3"/>
        <v>124140.00000000001</v>
      </c>
      <c r="K19" s="17">
        <f>I19</f>
        <v>20.69</v>
      </c>
      <c r="L19" s="19">
        <f>E19*K19</f>
        <v>124140.00000000001</v>
      </c>
      <c r="M19" t="s">
        <v>127</v>
      </c>
    </row>
    <row r="20" spans="1:21" ht="27" customHeight="1">
      <c r="A20" s="199">
        <f>A19+0.01</f>
        <v>3.0399999999999991</v>
      </c>
      <c r="B20" s="197" t="s">
        <v>93</v>
      </c>
      <c r="C20" s="180" t="s">
        <v>46</v>
      </c>
      <c r="D20" s="179">
        <v>1</v>
      </c>
      <c r="E20" s="182">
        <v>160000</v>
      </c>
      <c r="F20" s="182">
        <f t="shared" si="0"/>
        <v>160000</v>
      </c>
      <c r="G20" s="185">
        <f t="shared" si="1"/>
        <v>-1</v>
      </c>
      <c r="H20" s="183">
        <f t="shared" si="2"/>
        <v>-160000</v>
      </c>
      <c r="I20" s="202">
        <v>0</v>
      </c>
      <c r="J20" s="19">
        <f t="shared" si="3"/>
        <v>0</v>
      </c>
      <c r="K20" s="204">
        <f>I20</f>
        <v>0</v>
      </c>
      <c r="L20" s="203">
        <f>E20*K20</f>
        <v>0</v>
      </c>
    </row>
    <row r="21" spans="1:21" ht="12.75">
      <c r="A21" s="192">
        <f>A16+1</f>
        <v>4</v>
      </c>
      <c r="B21" s="195" t="s">
        <v>94</v>
      </c>
      <c r="C21" s="164"/>
      <c r="D21" s="159"/>
      <c r="E21" s="81"/>
      <c r="F21" s="81"/>
      <c r="G21" s="17"/>
      <c r="H21" s="19"/>
      <c r="I21" s="18"/>
      <c r="J21" s="19">
        <f t="shared" si="3"/>
        <v>0</v>
      </c>
      <c r="K21" s="17"/>
      <c r="L21" s="19"/>
    </row>
    <row r="22" spans="1:21" ht="24">
      <c r="A22" s="205">
        <f t="shared" ref="A22:A31" si="4">A21+0.01</f>
        <v>4.01</v>
      </c>
      <c r="B22" s="197" t="s">
        <v>95</v>
      </c>
      <c r="C22" s="206" t="s">
        <v>64</v>
      </c>
      <c r="D22" s="179">
        <v>15</v>
      </c>
      <c r="E22" s="182">
        <v>70000</v>
      </c>
      <c r="F22" s="182">
        <f t="shared" ref="F22:F31" si="5">+D22*E22</f>
        <v>1050000</v>
      </c>
      <c r="G22" s="185">
        <f t="shared" ref="G22:G31" si="6">SUM(K22-D22)</f>
        <v>-5.9603999999999999</v>
      </c>
      <c r="H22" s="183">
        <f t="shared" ref="H22:H31" si="7">E22*G22</f>
        <v>-417228</v>
      </c>
      <c r="I22" s="202">
        <f>(2.16*1.6*2)+1.97*1.08</f>
        <v>9.0396000000000001</v>
      </c>
      <c r="J22" s="19">
        <f t="shared" si="3"/>
        <v>632772</v>
      </c>
      <c r="K22" s="204">
        <f t="shared" ref="K22:K31" si="8">I22</f>
        <v>9.0396000000000001</v>
      </c>
      <c r="L22" s="203">
        <f t="shared" ref="L22:L31" si="9">E22*K22</f>
        <v>632772</v>
      </c>
      <c r="M22" t="s">
        <v>21</v>
      </c>
    </row>
    <row r="23" spans="1:21" ht="24">
      <c r="A23" s="205">
        <f t="shared" si="4"/>
        <v>4.0199999999999996</v>
      </c>
      <c r="B23" s="197" t="s">
        <v>96</v>
      </c>
      <c r="C23" s="206" t="s">
        <v>64</v>
      </c>
      <c r="D23" s="179">
        <v>8.4</v>
      </c>
      <c r="E23" s="182">
        <v>85000</v>
      </c>
      <c r="F23" s="182">
        <f>+D23*E23</f>
        <v>714000</v>
      </c>
      <c r="G23" s="185">
        <f>SUM(K23-D23)</f>
        <v>-1.8868</v>
      </c>
      <c r="H23" s="183">
        <f>E23*G23</f>
        <v>-160378</v>
      </c>
      <c r="I23" s="202">
        <f>1.285*2.52+1.31*2.5</f>
        <v>6.5132000000000003</v>
      </c>
      <c r="J23" s="19">
        <f t="shared" si="3"/>
        <v>553622</v>
      </c>
      <c r="K23" s="204">
        <f>I23</f>
        <v>6.5132000000000003</v>
      </c>
      <c r="L23" s="203">
        <f>E23*K23</f>
        <v>553622</v>
      </c>
      <c r="M23" t="s">
        <v>22</v>
      </c>
      <c r="Q23" s="186" t="s">
        <v>128</v>
      </c>
      <c r="R23" s="186"/>
      <c r="S23" s="186"/>
      <c r="T23" s="228">
        <f>0.8*2.16</f>
        <v>1.7280000000000002</v>
      </c>
      <c r="U23" s="124">
        <f>T23*E23</f>
        <v>146880.00000000003</v>
      </c>
    </row>
    <row r="24" spans="1:21" ht="12.75">
      <c r="A24" s="192">
        <f>A21+1</f>
        <v>5</v>
      </c>
      <c r="B24" s="195" t="s">
        <v>1</v>
      </c>
      <c r="C24" s="164"/>
      <c r="D24" s="159"/>
      <c r="E24" s="81"/>
      <c r="F24" s="81"/>
      <c r="G24" s="17"/>
      <c r="H24" s="19"/>
      <c r="I24" s="18"/>
      <c r="J24" s="19">
        <f t="shared" si="3"/>
        <v>0</v>
      </c>
      <c r="K24" s="17"/>
      <c r="L24" s="19"/>
    </row>
    <row r="25" spans="1:21" ht="12.75">
      <c r="A25" s="192">
        <f t="shared" si="4"/>
        <v>5.01</v>
      </c>
      <c r="B25" s="195" t="s">
        <v>97</v>
      </c>
      <c r="C25" s="164" t="s">
        <v>64</v>
      </c>
      <c r="D25" s="159">
        <v>124</v>
      </c>
      <c r="E25" s="81">
        <v>8500</v>
      </c>
      <c r="F25" s="81">
        <f t="shared" si="5"/>
        <v>1054000</v>
      </c>
      <c r="G25" s="178">
        <f t="shared" si="6"/>
        <v>-124</v>
      </c>
      <c r="H25" s="19">
        <f t="shared" si="7"/>
        <v>-1054000</v>
      </c>
      <c r="I25" s="18">
        <v>0</v>
      </c>
      <c r="J25" s="19">
        <f t="shared" si="3"/>
        <v>0</v>
      </c>
      <c r="K25" s="17">
        <f t="shared" si="8"/>
        <v>0</v>
      </c>
      <c r="L25" s="19">
        <f t="shared" si="9"/>
        <v>0</v>
      </c>
    </row>
    <row r="26" spans="1:21" ht="12.75">
      <c r="A26" s="192">
        <f t="shared" si="4"/>
        <v>5.0199999999999996</v>
      </c>
      <c r="B26" s="195" t="s">
        <v>98</v>
      </c>
      <c r="C26" s="164" t="s">
        <v>64</v>
      </c>
      <c r="D26" s="159">
        <v>15</v>
      </c>
      <c r="E26" s="81">
        <v>27000</v>
      </c>
      <c r="F26" s="81">
        <f t="shared" si="5"/>
        <v>405000</v>
      </c>
      <c r="G26" s="17">
        <f t="shared" si="6"/>
        <v>-0.9375</v>
      </c>
      <c r="H26" s="19">
        <f t="shared" si="7"/>
        <v>-25312.5</v>
      </c>
      <c r="I26" s="18">
        <f>3.75*3.75</f>
        <v>14.0625</v>
      </c>
      <c r="J26" s="19">
        <f t="shared" si="3"/>
        <v>379687.5</v>
      </c>
      <c r="K26" s="17">
        <f t="shared" si="8"/>
        <v>14.0625</v>
      </c>
      <c r="L26" s="19">
        <f t="shared" si="9"/>
        <v>379687.5</v>
      </c>
      <c r="M26" t="s">
        <v>131</v>
      </c>
    </row>
    <row r="27" spans="1:21" ht="12.75">
      <c r="A27" s="192">
        <f>A24+1</f>
        <v>6</v>
      </c>
      <c r="B27" s="195" t="s">
        <v>2</v>
      </c>
      <c r="C27" s="164"/>
      <c r="D27" s="159"/>
      <c r="E27" s="81"/>
      <c r="F27" s="81"/>
      <c r="G27" s="17"/>
      <c r="H27" s="19"/>
      <c r="I27" s="18"/>
      <c r="J27" s="19">
        <f t="shared" si="3"/>
        <v>0</v>
      </c>
      <c r="K27" s="17"/>
      <c r="L27" s="19"/>
    </row>
    <row r="28" spans="1:21" ht="12.75">
      <c r="A28" s="192">
        <f t="shared" si="4"/>
        <v>6.01</v>
      </c>
      <c r="B28" s="195" t="s">
        <v>99</v>
      </c>
      <c r="C28" s="164" t="s">
        <v>64</v>
      </c>
      <c r="D28" s="159">
        <v>32</v>
      </c>
      <c r="E28" s="81">
        <v>6375</v>
      </c>
      <c r="F28" s="81">
        <f t="shared" si="5"/>
        <v>204000</v>
      </c>
      <c r="G28" s="17">
        <f t="shared" si="6"/>
        <v>-32</v>
      </c>
      <c r="H28" s="19">
        <f t="shared" si="7"/>
        <v>-204000</v>
      </c>
      <c r="I28" s="18">
        <v>0</v>
      </c>
      <c r="J28" s="19">
        <f t="shared" si="3"/>
        <v>0</v>
      </c>
      <c r="K28" s="17">
        <f t="shared" si="8"/>
        <v>0</v>
      </c>
      <c r="L28" s="19">
        <f t="shared" si="9"/>
        <v>0</v>
      </c>
      <c r="Q28" s="186" t="s">
        <v>145</v>
      </c>
      <c r="R28" s="186"/>
      <c r="S28" s="186"/>
      <c r="T28" s="231">
        <f>I22+I23*2+T23*2+T52+0.38*2.55</f>
        <v>34.951000000000001</v>
      </c>
      <c r="U28" s="124">
        <f>T28*E28</f>
        <v>222812.625</v>
      </c>
    </row>
    <row r="29" spans="1:21" ht="12.75">
      <c r="A29" s="192">
        <f t="shared" si="4"/>
        <v>6.02</v>
      </c>
      <c r="B29" s="195" t="s">
        <v>100</v>
      </c>
      <c r="C29" s="164" t="s">
        <v>64</v>
      </c>
      <c r="D29" s="159">
        <v>60</v>
      </c>
      <c r="E29" s="81">
        <v>10000</v>
      </c>
      <c r="F29" s="81">
        <f t="shared" si="5"/>
        <v>600000</v>
      </c>
      <c r="G29" s="17">
        <f t="shared" si="6"/>
        <v>-15.116599999999998</v>
      </c>
      <c r="H29" s="19">
        <f t="shared" si="7"/>
        <v>-151165.99999999997</v>
      </c>
      <c r="I29" s="18">
        <f>(3.54+2.63)/2+(7.05*2)+(7.05*2.63*2)-(2.3*1+0.4*1.4+0.4*3.4+1.4*2*2+3.52*1.33)+(2.15*2.38)</f>
        <v>44.883400000000002</v>
      </c>
      <c r="J29" s="19">
        <f t="shared" si="3"/>
        <v>448834</v>
      </c>
      <c r="K29" s="17">
        <f t="shared" si="8"/>
        <v>44.883400000000002</v>
      </c>
      <c r="L29" s="19">
        <f t="shared" si="9"/>
        <v>448834</v>
      </c>
      <c r="M29" t="s">
        <v>132</v>
      </c>
    </row>
    <row r="30" spans="1:21" ht="12.75">
      <c r="A30" s="192">
        <f>A27+1</f>
        <v>7</v>
      </c>
      <c r="B30" s="195" t="s">
        <v>101</v>
      </c>
      <c r="C30" s="164"/>
      <c r="D30" s="159"/>
      <c r="E30" s="81"/>
      <c r="F30" s="81"/>
      <c r="G30" s="17"/>
      <c r="H30" s="19"/>
      <c r="I30" s="18"/>
      <c r="J30" s="19">
        <f t="shared" si="3"/>
        <v>0</v>
      </c>
      <c r="K30" s="17"/>
      <c r="L30" s="19"/>
    </row>
    <row r="31" spans="1:21" ht="12.75">
      <c r="A31" s="192">
        <f t="shared" si="4"/>
        <v>7.01</v>
      </c>
      <c r="B31" s="195" t="s">
        <v>102</v>
      </c>
      <c r="C31" s="164" t="s">
        <v>64</v>
      </c>
      <c r="D31" s="159">
        <v>69</v>
      </c>
      <c r="E31" s="81">
        <v>2000</v>
      </c>
      <c r="F31" s="81">
        <f t="shared" si="5"/>
        <v>138000</v>
      </c>
      <c r="G31" s="17">
        <f t="shared" si="6"/>
        <v>2.919399999999996</v>
      </c>
      <c r="H31" s="19">
        <f t="shared" si="7"/>
        <v>5838.799999999992</v>
      </c>
      <c r="I31" s="18">
        <f>+I26+I42</f>
        <v>71.919399999999996</v>
      </c>
      <c r="J31" s="19">
        <f t="shared" si="3"/>
        <v>143838.79999999999</v>
      </c>
      <c r="K31" s="17">
        <f t="shared" si="8"/>
        <v>71.919399999999996</v>
      </c>
      <c r="L31" s="19">
        <f t="shared" si="9"/>
        <v>143838.79999999999</v>
      </c>
      <c r="M31" t="s">
        <v>133</v>
      </c>
    </row>
    <row r="32" spans="1:21" ht="12.75" customHeight="1">
      <c r="A32" s="123"/>
      <c r="B32" s="194" t="s">
        <v>79</v>
      </c>
      <c r="C32" s="164"/>
      <c r="D32" s="159"/>
      <c r="E32" s="81"/>
      <c r="F32" s="166">
        <f>SUM(F10:F31)</f>
        <v>7532000</v>
      </c>
      <c r="G32" s="32"/>
      <c r="H32" s="166">
        <f>SUM(H10:H31)</f>
        <v>-4346188.9800000004</v>
      </c>
      <c r="I32" s="18"/>
      <c r="J32" s="166">
        <f>SUM(J10:J31)</f>
        <v>3185811.0199999996</v>
      </c>
      <c r="K32" s="17"/>
      <c r="L32" s="166">
        <f>SUM(L10:L31)</f>
        <v>3185811.0199999996</v>
      </c>
    </row>
    <row r="33" spans="1:19" ht="12.75" customHeight="1">
      <c r="A33" s="123"/>
      <c r="B33" s="194" t="s">
        <v>80</v>
      </c>
      <c r="C33" s="164"/>
      <c r="D33" s="165">
        <v>0.15</v>
      </c>
      <c r="E33" s="81"/>
      <c r="F33" s="166">
        <f>F32*D33</f>
        <v>1129800</v>
      </c>
      <c r="G33" s="32"/>
      <c r="H33" s="166">
        <f>H32*D33</f>
        <v>-651928.34700000007</v>
      </c>
      <c r="I33" s="18"/>
      <c r="J33" s="166">
        <f>J32*D33</f>
        <v>477871.65299999993</v>
      </c>
      <c r="K33" s="17"/>
      <c r="L33" s="166">
        <f>L32*D33</f>
        <v>477871.65299999993</v>
      </c>
    </row>
    <row r="34" spans="1:19" ht="12.75" customHeight="1">
      <c r="A34" s="123"/>
      <c r="B34" s="194" t="s">
        <v>81</v>
      </c>
      <c r="C34" s="164"/>
      <c r="D34" s="165">
        <v>0.05</v>
      </c>
      <c r="E34" s="81"/>
      <c r="F34" s="166">
        <f>F32*D34</f>
        <v>376600</v>
      </c>
      <c r="G34" s="32"/>
      <c r="H34" s="166">
        <f>H32*D34</f>
        <v>-217309.44900000002</v>
      </c>
      <c r="I34" s="18"/>
      <c r="J34" s="166">
        <f>J32*D34</f>
        <v>159290.55099999998</v>
      </c>
      <c r="K34" s="17"/>
      <c r="L34" s="166">
        <f>L32*D34</f>
        <v>159290.55099999998</v>
      </c>
    </row>
    <row r="35" spans="1:19" ht="12.75" customHeight="1">
      <c r="A35" s="123"/>
      <c r="B35" s="194" t="s">
        <v>82</v>
      </c>
      <c r="C35" s="164"/>
      <c r="D35" s="165">
        <v>0.05</v>
      </c>
      <c r="E35" s="81"/>
      <c r="F35" s="166">
        <f>F32*D35</f>
        <v>376600</v>
      </c>
      <c r="G35" s="32"/>
      <c r="H35" s="166">
        <f>H32*D35</f>
        <v>-217309.44900000002</v>
      </c>
      <c r="I35" s="18"/>
      <c r="J35" s="166">
        <f>J32*D35</f>
        <v>159290.55099999998</v>
      </c>
      <c r="K35" s="17"/>
      <c r="L35" s="166">
        <f>L32*D35</f>
        <v>159290.55099999998</v>
      </c>
    </row>
    <row r="36" spans="1:19" ht="12.75" customHeight="1">
      <c r="A36" s="123"/>
      <c r="B36" s="209" t="s">
        <v>83</v>
      </c>
      <c r="C36" s="164"/>
      <c r="D36" s="165">
        <f>SUM(D33:D35)</f>
        <v>0.25</v>
      </c>
      <c r="E36" s="81"/>
      <c r="F36" s="166">
        <f>SUM(F32:F35)</f>
        <v>9415000</v>
      </c>
      <c r="G36" s="32"/>
      <c r="H36" s="166">
        <f>SUM(H32:H35)</f>
        <v>-5432736.2250000006</v>
      </c>
      <c r="I36" s="18"/>
      <c r="J36" s="166">
        <f>SUM(J32:J35)</f>
        <v>3982263.7749999994</v>
      </c>
      <c r="K36" s="17"/>
      <c r="L36" s="166">
        <f>SUM(L32:L35)</f>
        <v>3982263.7749999994</v>
      </c>
    </row>
    <row r="37" spans="1:19" ht="12.75" customHeight="1">
      <c r="A37" s="123"/>
      <c r="B37" s="209" t="s">
        <v>103</v>
      </c>
      <c r="C37" s="164"/>
      <c r="D37" s="165"/>
      <c r="E37" s="81"/>
      <c r="F37" s="166"/>
      <c r="G37" s="32"/>
      <c r="H37" s="166"/>
      <c r="I37" s="18"/>
      <c r="J37" s="166"/>
      <c r="K37" s="17"/>
      <c r="L37" s="166"/>
    </row>
    <row r="38" spans="1:19" ht="12.75" customHeight="1">
      <c r="A38" s="123">
        <v>1</v>
      </c>
      <c r="B38" s="193" t="s">
        <v>104</v>
      </c>
      <c r="C38" s="164" t="s">
        <v>44</v>
      </c>
      <c r="D38" s="165"/>
      <c r="E38" s="81">
        <v>33560</v>
      </c>
      <c r="F38" s="166"/>
      <c r="G38" s="17">
        <f t="shared" ref="G38:G45" si="10">SUM(K38-D38)</f>
        <v>1.78</v>
      </c>
      <c r="H38" s="19">
        <f t="shared" ref="H38:H45" si="11">E38*G38</f>
        <v>59736.800000000003</v>
      </c>
      <c r="I38" s="18">
        <v>1.78</v>
      </c>
      <c r="J38" s="19">
        <f t="shared" ref="J38:J52" si="12">E38*I38</f>
        <v>59736.800000000003</v>
      </c>
      <c r="K38" s="17">
        <f t="shared" ref="K38:K45" si="13">I38</f>
        <v>1.78</v>
      </c>
      <c r="L38" s="19">
        <f t="shared" ref="L38:L45" si="14">E38*K38</f>
        <v>59736.800000000003</v>
      </c>
    </row>
    <row r="39" spans="1:19" ht="12.75" customHeight="1">
      <c r="A39" s="123">
        <f>A38+1</f>
        <v>2</v>
      </c>
      <c r="B39" s="193" t="s">
        <v>16</v>
      </c>
      <c r="C39" s="164" t="s">
        <v>44</v>
      </c>
      <c r="D39" s="165"/>
      <c r="E39" s="81">
        <v>3200</v>
      </c>
      <c r="F39" s="166"/>
      <c r="G39" s="17">
        <f t="shared" si="10"/>
        <v>0.97199999999999998</v>
      </c>
      <c r="H39" s="19">
        <f t="shared" si="11"/>
        <v>3110.4</v>
      </c>
      <c r="I39" s="18">
        <f>1.62*0.6</f>
        <v>0.97199999999999998</v>
      </c>
      <c r="J39" s="19">
        <f t="shared" si="12"/>
        <v>3110.4</v>
      </c>
      <c r="K39" s="17">
        <f t="shared" si="13"/>
        <v>0.97199999999999998</v>
      </c>
      <c r="L39" s="19">
        <f t="shared" si="14"/>
        <v>3110.4</v>
      </c>
    </row>
    <row r="40" spans="1:19" ht="12.75" customHeight="1">
      <c r="A40" s="123">
        <f t="shared" ref="A40:A49" si="15">A39+1</f>
        <v>3</v>
      </c>
      <c r="B40" s="193" t="s">
        <v>105</v>
      </c>
      <c r="C40" s="164" t="s">
        <v>64</v>
      </c>
      <c r="D40" s="165"/>
      <c r="E40" s="81">
        <v>5640</v>
      </c>
      <c r="F40" s="166"/>
      <c r="G40" s="17">
        <f t="shared" si="10"/>
        <v>63.483400000000003</v>
      </c>
      <c r="H40" s="19">
        <f t="shared" si="11"/>
        <v>358046.37599999999</v>
      </c>
      <c r="I40" s="18">
        <f>3.75*3.75+7.03*7.03</f>
        <v>63.483400000000003</v>
      </c>
      <c r="J40" s="19">
        <f t="shared" si="12"/>
        <v>358046.37599999999</v>
      </c>
      <c r="K40" s="17">
        <f t="shared" si="13"/>
        <v>63.483400000000003</v>
      </c>
      <c r="L40" s="19">
        <f t="shared" si="14"/>
        <v>358046.37599999999</v>
      </c>
    </row>
    <row r="41" spans="1:19" ht="12.75" customHeight="1">
      <c r="A41" s="123">
        <f t="shared" si="15"/>
        <v>4</v>
      </c>
      <c r="B41" s="193" t="s">
        <v>106</v>
      </c>
      <c r="C41" s="164" t="s">
        <v>64</v>
      </c>
      <c r="D41" s="165"/>
      <c r="E41" s="81">
        <v>3600</v>
      </c>
      <c r="F41" s="166"/>
      <c r="G41" s="17">
        <f t="shared" si="10"/>
        <v>14.0625</v>
      </c>
      <c r="H41" s="19">
        <f t="shared" si="11"/>
        <v>50625</v>
      </c>
      <c r="I41" s="18">
        <f>3.75*3.75</f>
        <v>14.0625</v>
      </c>
      <c r="J41" s="19">
        <f t="shared" si="12"/>
        <v>50625</v>
      </c>
      <c r="K41" s="17">
        <f t="shared" si="13"/>
        <v>14.0625</v>
      </c>
      <c r="L41" s="19">
        <f t="shared" si="14"/>
        <v>50625</v>
      </c>
    </row>
    <row r="42" spans="1:19" ht="12.75" customHeight="1">
      <c r="A42" s="123">
        <f t="shared" si="15"/>
        <v>5</v>
      </c>
      <c r="B42" s="193" t="s">
        <v>17</v>
      </c>
      <c r="C42" s="164" t="s">
        <v>64</v>
      </c>
      <c r="D42" s="165"/>
      <c r="E42" s="81">
        <f>28569*1.25</f>
        <v>35711.25</v>
      </c>
      <c r="F42" s="166"/>
      <c r="G42" s="17">
        <f t="shared" si="10"/>
        <v>57.856900000000003</v>
      </c>
      <c r="H42" s="19">
        <f t="shared" si="11"/>
        <v>2066142.2201250002</v>
      </c>
      <c r="I42" s="18">
        <f>(7.03*7.03)+(7.03*1.2)</f>
        <v>57.856900000000003</v>
      </c>
      <c r="J42" s="19">
        <f t="shared" si="12"/>
        <v>2066142.2201250002</v>
      </c>
      <c r="K42" s="17">
        <f t="shared" si="13"/>
        <v>57.856900000000003</v>
      </c>
      <c r="L42" s="19">
        <f t="shared" si="14"/>
        <v>2066142.2201250002</v>
      </c>
      <c r="M42" t="s">
        <v>134</v>
      </c>
    </row>
    <row r="43" spans="1:19" ht="12.75" customHeight="1">
      <c r="A43" s="123">
        <f t="shared" si="15"/>
        <v>6</v>
      </c>
      <c r="B43" s="193" t="s">
        <v>148</v>
      </c>
      <c r="C43" s="164" t="s">
        <v>44</v>
      </c>
      <c r="D43" s="165"/>
      <c r="E43" s="81">
        <v>4269</v>
      </c>
      <c r="F43" s="166"/>
      <c r="G43" s="17">
        <f t="shared" si="10"/>
        <v>41.18</v>
      </c>
      <c r="H43" s="19">
        <f t="shared" si="11"/>
        <v>175797.42</v>
      </c>
      <c r="I43" s="18">
        <f>(7.03*4-1)+(7.03*2)</f>
        <v>41.18</v>
      </c>
      <c r="J43" s="19">
        <f t="shared" si="12"/>
        <v>175797.42</v>
      </c>
      <c r="K43" s="17">
        <f t="shared" si="13"/>
        <v>41.18</v>
      </c>
      <c r="L43" s="19">
        <f t="shared" si="14"/>
        <v>175797.42</v>
      </c>
      <c r="M43" t="s">
        <v>134</v>
      </c>
    </row>
    <row r="44" spans="1:19" ht="12.75" customHeight="1">
      <c r="A44" s="123">
        <f t="shared" si="15"/>
        <v>7</v>
      </c>
      <c r="B44" s="193" t="s">
        <v>107</v>
      </c>
      <c r="C44" s="164" t="s">
        <v>64</v>
      </c>
      <c r="D44" s="165"/>
      <c r="E44" s="81">
        <v>24640</v>
      </c>
      <c r="F44" s="166"/>
      <c r="G44" s="17">
        <f t="shared" si="10"/>
        <v>2.0640000000000001</v>
      </c>
      <c r="H44" s="19">
        <f t="shared" si="11"/>
        <v>50856.959999999999</v>
      </c>
      <c r="I44" s="18">
        <f>0.4*3.07+0.4*2.09</f>
        <v>2.0640000000000001</v>
      </c>
      <c r="J44" s="19">
        <f t="shared" si="12"/>
        <v>50856.959999999999</v>
      </c>
      <c r="K44" s="17">
        <f t="shared" si="13"/>
        <v>2.0640000000000001</v>
      </c>
      <c r="L44" s="19">
        <f t="shared" si="14"/>
        <v>50856.959999999999</v>
      </c>
      <c r="M44" t="s">
        <v>135</v>
      </c>
    </row>
    <row r="45" spans="1:19" ht="12.75" customHeight="1">
      <c r="A45" s="123">
        <f t="shared" si="15"/>
        <v>8</v>
      </c>
      <c r="B45" s="214" t="s">
        <v>108</v>
      </c>
      <c r="C45" s="180" t="s">
        <v>64</v>
      </c>
      <c r="D45" s="211"/>
      <c r="E45" s="216">
        <v>13370</v>
      </c>
      <c r="F45" s="212"/>
      <c r="G45" s="17">
        <f t="shared" si="10"/>
        <v>4.1280000000000001</v>
      </c>
      <c r="H45" s="19">
        <f t="shared" si="11"/>
        <v>55191.360000000001</v>
      </c>
      <c r="I45" s="18">
        <f>I44*2</f>
        <v>4.1280000000000001</v>
      </c>
      <c r="J45" s="19">
        <f t="shared" si="12"/>
        <v>55191.360000000001</v>
      </c>
      <c r="K45" s="17">
        <f t="shared" si="13"/>
        <v>4.1280000000000001</v>
      </c>
      <c r="L45" s="19">
        <f t="shared" si="14"/>
        <v>55191.360000000001</v>
      </c>
      <c r="M45" t="s">
        <v>136</v>
      </c>
    </row>
    <row r="46" spans="1:19" ht="22.5" customHeight="1">
      <c r="A46" s="210">
        <f t="shared" si="15"/>
        <v>9</v>
      </c>
      <c r="B46" s="214" t="s">
        <v>144</v>
      </c>
      <c r="C46" s="180" t="s">
        <v>46</v>
      </c>
      <c r="D46" s="211"/>
      <c r="E46" s="216">
        <v>60000</v>
      </c>
      <c r="F46" s="212"/>
      <c r="G46" s="17">
        <f t="shared" ref="G46:G52" si="16">SUM(K46-D46)</f>
        <v>1</v>
      </c>
      <c r="H46" s="19">
        <f t="shared" ref="H46:H52" si="17">E46*G46</f>
        <v>60000</v>
      </c>
      <c r="I46" s="215">
        <v>1</v>
      </c>
      <c r="J46" s="19">
        <f t="shared" si="12"/>
        <v>60000</v>
      </c>
      <c r="K46" s="17">
        <f t="shared" ref="K46:K52" si="18">I46</f>
        <v>1</v>
      </c>
      <c r="L46" s="19">
        <f t="shared" ref="L46:L52" si="19">E46*K46</f>
        <v>60000</v>
      </c>
      <c r="P46" s="181"/>
      <c r="Q46" s="124"/>
    </row>
    <row r="47" spans="1:19" ht="12.75" customHeight="1">
      <c r="A47" s="210">
        <f t="shared" si="15"/>
        <v>10</v>
      </c>
      <c r="B47" s="214" t="s">
        <v>109</v>
      </c>
      <c r="C47" s="180" t="s">
        <v>44</v>
      </c>
      <c r="D47" s="211"/>
      <c r="E47" s="216">
        <v>37427</v>
      </c>
      <c r="F47" s="212"/>
      <c r="G47" s="17">
        <f t="shared" si="16"/>
        <v>2.13</v>
      </c>
      <c r="H47" s="19">
        <f t="shared" si="17"/>
        <v>79719.509999999995</v>
      </c>
      <c r="I47" s="215">
        <f>1.64+0.49</f>
        <v>2.13</v>
      </c>
      <c r="J47" s="19">
        <f t="shared" si="12"/>
        <v>79719.509999999995</v>
      </c>
      <c r="K47" s="17">
        <f t="shared" si="18"/>
        <v>2.13</v>
      </c>
      <c r="L47" s="19">
        <f t="shared" si="19"/>
        <v>79719.509999999995</v>
      </c>
      <c r="M47" t="s">
        <v>137</v>
      </c>
      <c r="P47" s="181"/>
    </row>
    <row r="48" spans="1:19" ht="37.5" customHeight="1">
      <c r="A48" s="210">
        <f t="shared" si="15"/>
        <v>11</v>
      </c>
      <c r="B48" s="214" t="s">
        <v>110</v>
      </c>
      <c r="C48" s="180" t="s">
        <v>46</v>
      </c>
      <c r="D48" s="211"/>
      <c r="E48" s="216">
        <f>135000+30000+28750+12000</f>
        <v>205750</v>
      </c>
      <c r="F48" s="212"/>
      <c r="G48" s="17">
        <f t="shared" si="16"/>
        <v>1</v>
      </c>
      <c r="H48" s="19">
        <f t="shared" si="17"/>
        <v>205750</v>
      </c>
      <c r="I48" s="184">
        <v>1</v>
      </c>
      <c r="J48" s="19">
        <f t="shared" si="12"/>
        <v>205750</v>
      </c>
      <c r="K48" s="17">
        <f t="shared" si="18"/>
        <v>1</v>
      </c>
      <c r="L48" s="19">
        <f t="shared" si="19"/>
        <v>205750</v>
      </c>
      <c r="M48" t="s">
        <v>138</v>
      </c>
      <c r="P48" s="198"/>
      <c r="Q48" s="198"/>
      <c r="R48" s="198"/>
      <c r="S48" s="198"/>
    </row>
    <row r="49" spans="1:22" ht="12.75" customHeight="1">
      <c r="A49" s="210">
        <f t="shared" si="15"/>
        <v>12</v>
      </c>
      <c r="B49" s="214" t="s">
        <v>111</v>
      </c>
      <c r="C49" s="164" t="s">
        <v>64</v>
      </c>
      <c r="D49" s="211"/>
      <c r="E49" s="216">
        <v>5700</v>
      </c>
      <c r="F49" s="212"/>
      <c r="G49" s="17">
        <f t="shared" si="16"/>
        <v>32.758600000000001</v>
      </c>
      <c r="H49" s="19">
        <f t="shared" si="17"/>
        <v>186724.02000000002</v>
      </c>
      <c r="I49" s="215">
        <f>3.05*3.75+3.75*3.03+3.76*3.06-(0.35*4.42)</f>
        <v>32.758600000000001</v>
      </c>
      <c r="J49" s="19">
        <f t="shared" si="12"/>
        <v>186724.02000000002</v>
      </c>
      <c r="K49" s="17">
        <f t="shared" si="18"/>
        <v>32.758600000000001</v>
      </c>
      <c r="L49" s="19">
        <f t="shared" si="19"/>
        <v>186724.02000000002</v>
      </c>
      <c r="M49" t="s">
        <v>139</v>
      </c>
      <c r="P49" s="186" t="s">
        <v>140</v>
      </c>
      <c r="Q49" s="186"/>
      <c r="T49" s="233">
        <f>I45</f>
        <v>4.1280000000000001</v>
      </c>
      <c r="U49" s="124">
        <f>T49*E49</f>
        <v>23529.600000000002</v>
      </c>
    </row>
    <row r="50" spans="1:22" ht="12.75" customHeight="1">
      <c r="A50" s="210"/>
      <c r="B50" s="214"/>
      <c r="C50" s="164"/>
      <c r="D50" s="211"/>
      <c r="E50" s="216"/>
      <c r="F50" s="212"/>
      <c r="G50" s="17">
        <f t="shared" si="16"/>
        <v>0</v>
      </c>
      <c r="H50" s="19">
        <f t="shared" si="17"/>
        <v>0</v>
      </c>
      <c r="I50" s="215"/>
      <c r="J50" s="19">
        <f t="shared" si="12"/>
        <v>0</v>
      </c>
      <c r="K50" s="17">
        <f t="shared" si="18"/>
        <v>0</v>
      </c>
      <c r="L50" s="19">
        <f t="shared" si="19"/>
        <v>0</v>
      </c>
      <c r="P50" s="186" t="s">
        <v>146</v>
      </c>
      <c r="Q50" s="186"/>
      <c r="T50" s="233">
        <f>9.5*2.7</f>
        <v>25.650000000000002</v>
      </c>
      <c r="U50" s="124">
        <f>T50*7500*1.25</f>
        <v>240468.75000000003</v>
      </c>
      <c r="V50">
        <f>7500*1.25</f>
        <v>9375</v>
      </c>
    </row>
    <row r="51" spans="1:22" ht="12.75" customHeight="1">
      <c r="A51" s="210"/>
      <c r="B51" s="214"/>
      <c r="C51" s="164"/>
      <c r="D51" s="211"/>
      <c r="E51" s="216"/>
      <c r="F51" s="212"/>
      <c r="G51" s="17">
        <f t="shared" si="16"/>
        <v>0</v>
      </c>
      <c r="H51" s="19">
        <f t="shared" si="17"/>
        <v>0</v>
      </c>
      <c r="I51" s="215"/>
      <c r="J51" s="19">
        <f t="shared" si="12"/>
        <v>0</v>
      </c>
      <c r="K51" s="17">
        <f t="shared" si="18"/>
        <v>0</v>
      </c>
      <c r="L51" s="19">
        <f t="shared" si="19"/>
        <v>0</v>
      </c>
      <c r="P51" s="186" t="s">
        <v>147</v>
      </c>
      <c r="Q51" s="186"/>
      <c r="T51" s="233">
        <f>T50</f>
        <v>25.650000000000002</v>
      </c>
      <c r="U51" s="124">
        <f>33000*1.25*T51</f>
        <v>1058062.5</v>
      </c>
    </row>
    <row r="52" spans="1:22" ht="12.75" customHeight="1">
      <c r="A52" s="210"/>
      <c r="B52" s="214"/>
      <c r="C52" s="164"/>
      <c r="D52" s="211"/>
      <c r="E52" s="216"/>
      <c r="F52" s="212"/>
      <c r="G52" s="17">
        <f t="shared" si="16"/>
        <v>0</v>
      </c>
      <c r="H52" s="19">
        <f t="shared" si="17"/>
        <v>0</v>
      </c>
      <c r="I52" s="215"/>
      <c r="J52" s="19">
        <f t="shared" si="12"/>
        <v>0</v>
      </c>
      <c r="K52" s="17">
        <f t="shared" si="18"/>
        <v>0</v>
      </c>
      <c r="L52" s="19">
        <f t="shared" si="19"/>
        <v>0</v>
      </c>
      <c r="P52" s="186" t="s">
        <v>143</v>
      </c>
      <c r="Q52" s="186"/>
      <c r="T52" s="233">
        <f>7.05*1.2</f>
        <v>8.4599999999999991</v>
      </c>
      <c r="U52" s="124">
        <f>T52*45000*1.25</f>
        <v>475874.99999999994</v>
      </c>
    </row>
    <row r="53" spans="1:22" ht="12.75" customHeight="1">
      <c r="A53" s="210"/>
      <c r="B53" s="214" t="s">
        <v>141</v>
      </c>
      <c r="C53" s="180"/>
      <c r="D53" s="211"/>
      <c r="E53" s="200"/>
      <c r="F53" s="212"/>
      <c r="G53" s="213"/>
      <c r="H53" s="212">
        <f>SUM(H38:H52)</f>
        <v>3351700.0661249999</v>
      </c>
      <c r="I53" s="215"/>
      <c r="J53" s="212">
        <f>SUM(J38:J52)</f>
        <v>3351700.0661249999</v>
      </c>
      <c r="K53" s="201"/>
      <c r="L53" s="212">
        <f>SUM(L38:L52)</f>
        <v>3351700.0661249999</v>
      </c>
      <c r="M53" s="181"/>
      <c r="N53" s="181"/>
      <c r="O53" s="181"/>
      <c r="P53" s="181"/>
    </row>
    <row r="54" spans="1:22" ht="12.75" customHeight="1">
      <c r="A54" s="210"/>
      <c r="B54" s="214"/>
      <c r="C54" s="180"/>
      <c r="D54" s="211"/>
      <c r="E54" s="200"/>
      <c r="F54" s="212"/>
      <c r="G54" s="213"/>
      <c r="H54" s="212"/>
      <c r="I54" s="215"/>
      <c r="J54" s="212"/>
      <c r="K54" s="201"/>
      <c r="L54" s="212"/>
      <c r="M54" s="181"/>
      <c r="N54" s="181"/>
      <c r="O54" s="181"/>
      <c r="P54" s="181"/>
    </row>
    <row r="55" spans="1:22" ht="12.75" customHeight="1">
      <c r="A55" s="210"/>
      <c r="B55" s="217" t="s">
        <v>18</v>
      </c>
      <c r="C55" s="180"/>
      <c r="D55" s="211"/>
      <c r="E55" s="200"/>
      <c r="F55" s="218">
        <f>F36+F53</f>
        <v>9415000</v>
      </c>
      <c r="G55" s="219"/>
      <c r="H55" s="218">
        <f>H36+H53</f>
        <v>-2081036.1588750007</v>
      </c>
      <c r="I55" s="220"/>
      <c r="J55" s="218">
        <f>J36+J53</f>
        <v>7333963.8411249993</v>
      </c>
      <c r="K55" s="221"/>
      <c r="L55" s="218">
        <f>L36+L53</f>
        <v>7333963.8411249993</v>
      </c>
      <c r="M55" s="224">
        <f>F55+H55</f>
        <v>7333963.8411249993</v>
      </c>
      <c r="N55" s="222"/>
      <c r="O55" s="222"/>
      <c r="P55" s="222"/>
      <c r="Q55" s="223"/>
      <c r="U55" s="124">
        <f>SUM(U10:U54)</f>
        <v>2230096.4750000001</v>
      </c>
      <c r="V55" s="125">
        <f>SUM(U55+H55)</f>
        <v>149060.31612499943</v>
      </c>
    </row>
    <row r="56" spans="1:22" ht="9.6" customHeight="1">
      <c r="A56" s="225"/>
      <c r="B56" s="84"/>
      <c r="C56" s="96"/>
      <c r="D56" s="226"/>
      <c r="E56" s="100"/>
      <c r="F56" s="227"/>
      <c r="G56" s="99"/>
      <c r="H56" s="100"/>
      <c r="I56" s="149"/>
      <c r="J56" s="100"/>
      <c r="K56" s="99"/>
      <c r="L56" s="101"/>
    </row>
    <row r="57" spans="1:22">
      <c r="A57" s="108"/>
      <c r="B57" s="207" t="s">
        <v>84</v>
      </c>
      <c r="C57" s="114"/>
      <c r="D57" s="33"/>
      <c r="E57" s="12"/>
      <c r="F57" s="160"/>
      <c r="G57" s="13"/>
      <c r="H57" s="8"/>
      <c r="I57" s="153"/>
      <c r="J57" s="208"/>
      <c r="K57" s="7"/>
      <c r="L57" s="26"/>
    </row>
    <row r="58" spans="1:22">
      <c r="A58" s="108"/>
      <c r="B58" s="109" t="s">
        <v>56</v>
      </c>
      <c r="C58" s="115"/>
      <c r="D58" s="34"/>
      <c r="E58" s="14">
        <f>F55</f>
        <v>9415000</v>
      </c>
      <c r="F58" s="106" t="s">
        <v>112</v>
      </c>
      <c r="G58" s="87"/>
      <c r="H58" s="88"/>
      <c r="I58" s="146">
        <f>F55/2</f>
        <v>4707500</v>
      </c>
      <c r="J58" s="90" t="s">
        <v>115</v>
      </c>
      <c r="K58" s="91">
        <f>0.1*F55</f>
        <v>941500</v>
      </c>
      <c r="L58" s="25"/>
    </row>
    <row r="59" spans="1:22">
      <c r="A59" s="108"/>
      <c r="B59" s="76" t="s">
        <v>57</v>
      </c>
      <c r="C59" s="381">
        <f>J55</f>
        <v>7333963.8411249993</v>
      </c>
      <c r="D59" s="381"/>
      <c r="E59" s="15"/>
      <c r="F59" s="105" t="s">
        <v>120</v>
      </c>
      <c r="G59" s="1"/>
      <c r="H59" s="89">
        <f>J55/2</f>
        <v>3666981.9205624997</v>
      </c>
      <c r="I59" s="147"/>
      <c r="J59" s="92" t="s">
        <v>116</v>
      </c>
      <c r="K59" s="10"/>
      <c r="L59" s="27">
        <f>SUM(J55*0.1)</f>
        <v>733396.3841125</v>
      </c>
    </row>
    <row r="60" spans="1:22" ht="15">
      <c r="A60" s="108"/>
      <c r="B60" s="110" t="s">
        <v>58</v>
      </c>
      <c r="C60" s="382">
        <f>SUM(E58-C59)</f>
        <v>2081036.1588750007</v>
      </c>
      <c r="D60" s="382"/>
      <c r="E60" s="11"/>
      <c r="F60" s="107" t="s">
        <v>113</v>
      </c>
      <c r="G60" s="13"/>
      <c r="H60" s="104">
        <f>SUM(I58-H59)</f>
        <v>1040518.0794375003</v>
      </c>
      <c r="I60" s="147" t="s">
        <v>118</v>
      </c>
      <c r="J60" s="93" t="s">
        <v>119</v>
      </c>
      <c r="K60" s="10" t="s">
        <v>117</v>
      </c>
      <c r="L60" s="95">
        <f>+K58-L59</f>
        <v>208103.6158875</v>
      </c>
    </row>
    <row r="61" spans="1:22">
      <c r="A61" s="108"/>
      <c r="B61" s="45" t="s">
        <v>59</v>
      </c>
      <c r="C61" s="377">
        <f>SUM(C59:C60)</f>
        <v>9415000</v>
      </c>
      <c r="D61" s="378"/>
      <c r="E61" s="16">
        <f>SUM(E58:E60)</f>
        <v>9415000</v>
      </c>
      <c r="F61" s="103" t="s">
        <v>114</v>
      </c>
      <c r="G61" s="102"/>
      <c r="H61" s="121">
        <f>SUM(H58:H60)</f>
        <v>4707500</v>
      </c>
      <c r="I61" s="148">
        <f>SUM(I58:I60)</f>
        <v>4707500</v>
      </c>
      <c r="J61" s="94" t="s">
        <v>59</v>
      </c>
      <c r="K61" s="41">
        <f>SUM(K58:K60)</f>
        <v>941500</v>
      </c>
      <c r="L61" s="42">
        <f>SUM(L58:L60)</f>
        <v>941500</v>
      </c>
    </row>
    <row r="62" spans="1:22" ht="12.75" customHeight="1">
      <c r="A62" s="122"/>
      <c r="B62" s="84"/>
      <c r="C62" s="96"/>
      <c r="D62" s="97"/>
      <c r="E62" s="98"/>
      <c r="F62" s="98"/>
      <c r="G62" s="99"/>
      <c r="H62" s="100"/>
      <c r="I62" s="149"/>
      <c r="J62" s="100"/>
      <c r="K62" s="99"/>
      <c r="L62" s="101"/>
    </row>
    <row r="63" spans="1:22">
      <c r="A63" s="157"/>
      <c r="B63" s="161"/>
      <c r="C63" s="96"/>
      <c r="D63" s="162"/>
      <c r="E63" s="163"/>
      <c r="F63" s="163"/>
      <c r="G63" s="99"/>
      <c r="H63" s="100"/>
      <c r="I63" s="149"/>
      <c r="J63" s="100"/>
      <c r="K63" s="99"/>
      <c r="L63" s="101"/>
    </row>
    <row r="64" spans="1:22">
      <c r="A64" s="46"/>
      <c r="B64" s="43" t="s">
        <v>48</v>
      </c>
      <c r="C64" s="116"/>
      <c r="D64" s="40" t="s">
        <v>50</v>
      </c>
      <c r="E64" s="167">
        <f>F36</f>
        <v>9415000</v>
      </c>
      <c r="F64" s="126"/>
      <c r="G64" s="3" t="s">
        <v>49</v>
      </c>
      <c r="H64" s="4"/>
      <c r="I64" s="150"/>
      <c r="J64" s="4"/>
      <c r="K64" s="5" t="s">
        <v>50</v>
      </c>
      <c r="L64" s="25">
        <f>J55</f>
        <v>7333963.8411249993</v>
      </c>
    </row>
    <row r="65" spans="1:13">
      <c r="A65" s="46"/>
      <c r="B65" s="44" t="s">
        <v>51</v>
      </c>
      <c r="C65" s="117"/>
      <c r="D65" s="40" t="s">
        <v>50</v>
      </c>
      <c r="E65" s="167">
        <f>F55</f>
        <v>9415000</v>
      </c>
      <c r="F65" s="175"/>
      <c r="G65" s="2" t="s">
        <v>71</v>
      </c>
      <c r="H65" s="10"/>
      <c r="I65" s="83"/>
      <c r="J65" s="10"/>
      <c r="K65" s="86" t="s">
        <v>50</v>
      </c>
      <c r="L65" s="27">
        <f>J55/2</f>
        <v>3666981.9205624997</v>
      </c>
    </row>
    <row r="66" spans="1:13" ht="14.25" thickBot="1">
      <c r="A66" s="46"/>
      <c r="B66" s="44" t="s">
        <v>52</v>
      </c>
      <c r="C66" s="117"/>
      <c r="D66" s="40" t="s">
        <v>50</v>
      </c>
      <c r="E66" s="39">
        <v>0</v>
      </c>
      <c r="F66" s="20"/>
      <c r="G66" s="2" t="s">
        <v>72</v>
      </c>
      <c r="H66" s="10"/>
      <c r="I66" s="83"/>
      <c r="J66" s="10"/>
      <c r="K66" s="86" t="s">
        <v>50</v>
      </c>
      <c r="L66" s="27">
        <f>J55*0.1</f>
        <v>733396.3841125</v>
      </c>
    </row>
    <row r="67" spans="1:13" ht="14.25" thickTop="1">
      <c r="A67" s="46"/>
      <c r="B67" s="44" t="s">
        <v>53</v>
      </c>
      <c r="C67" s="117"/>
      <c r="D67" s="40" t="s">
        <v>50</v>
      </c>
      <c r="E67" s="39">
        <f>SUM(E65:E66)</f>
        <v>9415000</v>
      </c>
      <c r="F67" s="20"/>
      <c r="G67" s="127" t="s">
        <v>70</v>
      </c>
      <c r="H67" s="128"/>
      <c r="I67" s="151"/>
      <c r="J67" s="128"/>
      <c r="K67" s="129" t="s">
        <v>50</v>
      </c>
      <c r="L67" s="234">
        <f>SUM(L64-L65-L66)</f>
        <v>2933585.5364499995</v>
      </c>
      <c r="M67" s="24"/>
    </row>
    <row r="68" spans="1:13" ht="14.25" thickBot="1">
      <c r="A68" s="46"/>
      <c r="B68" s="44" t="s">
        <v>54</v>
      </c>
      <c r="C68" s="117"/>
      <c r="D68" s="40" t="s">
        <v>50</v>
      </c>
      <c r="E68" s="39">
        <f>J36</f>
        <v>3982263.7749999994</v>
      </c>
      <c r="F68" s="20"/>
      <c r="G68" s="168" t="s">
        <v>19</v>
      </c>
      <c r="H68" s="130"/>
      <c r="I68" s="152"/>
      <c r="J68" s="130"/>
      <c r="K68" s="130"/>
      <c r="L68" s="156"/>
    </row>
    <row r="69" spans="1:13" ht="14.25" thickTop="1">
      <c r="A69" s="46"/>
      <c r="B69" s="44" t="s">
        <v>85</v>
      </c>
      <c r="C69" s="117"/>
      <c r="D69" s="40" t="s">
        <v>50</v>
      </c>
      <c r="E69" s="39">
        <f>I58-L65</f>
        <v>1040518.0794375003</v>
      </c>
      <c r="F69" s="20"/>
      <c r="G69" s="3" t="s">
        <v>55</v>
      </c>
      <c r="H69" s="4"/>
      <c r="I69" s="150"/>
      <c r="J69" s="4"/>
      <c r="K69" s="5" t="s">
        <v>50</v>
      </c>
      <c r="L69" s="187">
        <f>F55-L55</f>
        <v>2081036.1588750007</v>
      </c>
      <c r="M69" s="24"/>
    </row>
    <row r="70" spans="1:13">
      <c r="A70" s="46"/>
      <c r="B70" s="44" t="s">
        <v>63</v>
      </c>
      <c r="C70" s="117"/>
      <c r="D70" s="40" t="s">
        <v>50</v>
      </c>
      <c r="E70" s="167">
        <f>SUM(E67-E68)</f>
        <v>5432736.2250000006</v>
      </c>
      <c r="F70" s="20"/>
      <c r="G70" s="176" t="s">
        <v>20</v>
      </c>
      <c r="H70" s="7"/>
      <c r="I70" s="153"/>
      <c r="J70" s="7"/>
      <c r="K70" s="7"/>
      <c r="L70" s="26"/>
    </row>
    <row r="71" spans="1:13">
      <c r="A71" s="2"/>
      <c r="B71" s="131"/>
      <c r="C71" s="132"/>
      <c r="D71" s="133"/>
      <c r="E71" s="134"/>
      <c r="F71" s="21"/>
      <c r="G71" s="4"/>
      <c r="H71" s="4"/>
      <c r="I71" s="83"/>
      <c r="J71" s="10"/>
      <c r="K71" s="10"/>
      <c r="L71" s="27"/>
    </row>
    <row r="72" spans="1:13" ht="12.75">
      <c r="A72" s="47" t="s">
        <v>62</v>
      </c>
      <c r="B72" s="45"/>
      <c r="C72" s="120"/>
      <c r="D72" s="119"/>
      <c r="E72" s="30"/>
      <c r="F72" s="135"/>
      <c r="G72" s="31"/>
      <c r="H72" s="136"/>
      <c r="I72" s="154"/>
      <c r="J72" s="137"/>
      <c r="K72" s="138"/>
      <c r="L72" s="139"/>
    </row>
    <row r="73" spans="1:13">
      <c r="A73" s="9" t="s">
        <v>86</v>
      </c>
      <c r="B73" s="141"/>
      <c r="C73" s="140"/>
      <c r="D73" s="35"/>
      <c r="E73" s="10"/>
      <c r="F73" s="21"/>
      <c r="G73" s="29"/>
      <c r="H73" s="140" t="s">
        <v>73</v>
      </c>
      <c r="I73" s="10" t="s">
        <v>60</v>
      </c>
      <c r="J73" s="10"/>
      <c r="K73" s="10"/>
      <c r="L73" s="28"/>
    </row>
    <row r="74" spans="1:13">
      <c r="A74" s="2"/>
      <c r="B74" s="10"/>
      <c r="C74" s="111"/>
      <c r="D74" s="36"/>
      <c r="E74" s="1"/>
      <c r="F74" s="22"/>
      <c r="G74" s="10"/>
      <c r="H74" s="111"/>
      <c r="I74" s="83"/>
      <c r="J74" s="10"/>
      <c r="K74" s="10"/>
      <c r="L74" s="27"/>
    </row>
    <row r="75" spans="1:13" ht="18.75">
      <c r="A75" s="6" t="s">
        <v>61</v>
      </c>
      <c r="B75" s="13"/>
      <c r="C75" s="112"/>
      <c r="D75" s="37"/>
      <c r="E75" s="13"/>
      <c r="F75" s="23"/>
      <c r="G75" s="13"/>
      <c r="H75" s="112" t="s">
        <v>24</v>
      </c>
      <c r="I75" s="169" t="s">
        <v>65</v>
      </c>
      <c r="J75" s="13"/>
      <c r="K75" s="170" t="s">
        <v>66</v>
      </c>
      <c r="L75" s="78"/>
    </row>
  </sheetData>
  <mergeCells count="16">
    <mergeCell ref="I7:L7"/>
    <mergeCell ref="G7:H7"/>
    <mergeCell ref="G8:H8"/>
    <mergeCell ref="M14:N14"/>
    <mergeCell ref="J2:L2"/>
    <mergeCell ref="J3:L3"/>
    <mergeCell ref="J6:L6"/>
    <mergeCell ref="J5:L5"/>
    <mergeCell ref="J4:L4"/>
    <mergeCell ref="A4:B4"/>
    <mergeCell ref="A3:B3"/>
    <mergeCell ref="C61:D61"/>
    <mergeCell ref="A6:B6"/>
    <mergeCell ref="C59:D59"/>
    <mergeCell ref="C60:D60"/>
    <mergeCell ref="A5:B5"/>
  </mergeCells>
  <phoneticPr fontId="28" type="noConversion"/>
  <printOptions horizontalCentered="1" verticalCentered="1"/>
  <pageMargins left="0.19685039370078741" right="0.75" top="1" bottom="1" header="0" footer="0"/>
  <pageSetup scale="80" orientation="landscape" horizontalDpi="300" verticalDpi="300" r:id="rId1"/>
  <headerFooter alignWithMargins="0">
    <oddFooter xml:space="preserve">&amp;C&amp;P
</oddFooter>
  </headerFooter>
  <rowBreaks count="2" manualBreakCount="2">
    <brk id="42" max="16383" man="1"/>
    <brk id="75" max="16383" man="1"/>
  </rowBreaks>
  <colBreaks count="1" manualBreakCount="1">
    <brk id="1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Q58"/>
  <sheetViews>
    <sheetView tabSelected="1" view="pageLayout" topLeftCell="A24" zoomScale="60" zoomScaleNormal="60" zoomScalePageLayoutView="60" workbookViewId="0">
      <selection activeCell="L61" sqref="L61:L63"/>
    </sheetView>
  </sheetViews>
  <sheetFormatPr baseColWidth="10" defaultRowHeight="12.75"/>
  <cols>
    <col min="1" max="1" width="7.7109375" style="240" customWidth="1"/>
    <col min="2" max="2" width="35.85546875" style="240" customWidth="1"/>
    <col min="3" max="3" width="8.85546875" style="240" customWidth="1"/>
    <col min="4" max="4" width="9.140625" style="251" customWidth="1"/>
    <col min="5" max="5" width="14" style="240" customWidth="1"/>
    <col min="6" max="6" width="14.5703125" style="252" customWidth="1"/>
    <col min="7" max="7" width="14" style="240" customWidth="1"/>
    <col min="8" max="8" width="13.85546875" style="240" customWidth="1"/>
    <col min="9" max="9" width="8.5703125" style="253" customWidth="1"/>
    <col min="10" max="11" width="12.85546875" style="240" customWidth="1"/>
    <col min="12" max="12" width="18.5703125" style="240" customWidth="1"/>
    <col min="13" max="13" width="11.42578125" style="237"/>
    <col min="14" max="14" width="18.42578125" style="237" bestFit="1" customWidth="1"/>
    <col min="15" max="16384" width="11.42578125" style="237"/>
  </cols>
  <sheetData>
    <row r="1" spans="1:17" ht="29.25" customHeight="1">
      <c r="A1" s="405" t="s">
        <v>27</v>
      </c>
      <c r="B1" s="421"/>
      <c r="C1" s="254" t="s">
        <v>153</v>
      </c>
      <c r="D1" s="412" t="s">
        <v>159</v>
      </c>
      <c r="E1" s="413"/>
      <c r="F1" s="413"/>
      <c r="G1" s="413"/>
      <c r="H1" s="413"/>
      <c r="I1" s="414"/>
      <c r="J1" s="418" t="s">
        <v>23</v>
      </c>
      <c r="K1" s="419"/>
      <c r="L1" s="255"/>
      <c r="M1" s="236"/>
      <c r="N1" s="236"/>
      <c r="O1" s="236"/>
    </row>
    <row r="2" spans="1:17" ht="49.5" customHeight="1">
      <c r="A2" s="420" t="s">
        <v>25</v>
      </c>
      <c r="B2" s="408"/>
      <c r="C2" s="256"/>
      <c r="D2" s="415"/>
      <c r="E2" s="416"/>
      <c r="F2" s="416"/>
      <c r="G2" s="416"/>
      <c r="H2" s="416"/>
      <c r="I2" s="417"/>
      <c r="J2" s="257" t="s">
        <v>67</v>
      </c>
      <c r="K2" s="258">
        <v>39590</v>
      </c>
      <c r="L2" s="401" t="s">
        <v>192</v>
      </c>
      <c r="M2" s="236"/>
      <c r="N2" s="236"/>
      <c r="O2" s="236"/>
    </row>
    <row r="3" spans="1:17" ht="14.25">
      <c r="A3" s="259"/>
      <c r="B3" s="260"/>
      <c r="C3" s="422" t="s">
        <v>160</v>
      </c>
      <c r="D3" s="423"/>
      <c r="E3" s="261" t="s">
        <v>161</v>
      </c>
      <c r="F3" s="262"/>
      <c r="G3" s="263"/>
      <c r="H3" s="263"/>
      <c r="I3" s="264"/>
      <c r="J3" s="257" t="s">
        <v>182</v>
      </c>
      <c r="K3" s="258">
        <v>39591</v>
      </c>
      <c r="L3" s="401"/>
      <c r="M3" s="236"/>
      <c r="N3" s="236"/>
      <c r="O3" s="236"/>
      <c r="Q3" s="239"/>
    </row>
    <row r="4" spans="1:17" ht="14.25">
      <c r="A4" s="426"/>
      <c r="B4" s="428"/>
      <c r="C4" s="424" t="s">
        <v>162</v>
      </c>
      <c r="D4" s="425"/>
      <c r="E4" s="425"/>
      <c r="F4" s="425"/>
      <c r="G4" s="425"/>
      <c r="H4" s="425"/>
      <c r="I4" s="264"/>
      <c r="J4" s="257" t="s">
        <v>183</v>
      </c>
      <c r="K4" s="265">
        <v>39608</v>
      </c>
      <c r="L4" s="401" t="s">
        <v>193</v>
      </c>
      <c r="M4" s="236"/>
      <c r="N4" s="236"/>
      <c r="O4" s="236"/>
    </row>
    <row r="5" spans="1:17" ht="14.25">
      <c r="A5" s="426" t="s">
        <v>157</v>
      </c>
      <c r="B5" s="428"/>
      <c r="C5" s="402" t="s">
        <v>163</v>
      </c>
      <c r="D5" s="403"/>
      <c r="E5" s="403"/>
      <c r="F5" s="403"/>
      <c r="G5" s="403"/>
      <c r="H5" s="266"/>
      <c r="I5" s="267"/>
      <c r="J5" s="265" t="s">
        <v>184</v>
      </c>
      <c r="K5" s="265">
        <v>39619</v>
      </c>
      <c r="L5" s="449"/>
      <c r="M5" s="236"/>
      <c r="N5" s="236"/>
      <c r="O5" s="236"/>
    </row>
    <row r="6" spans="1:17" ht="14.25">
      <c r="A6" s="426" t="s">
        <v>158</v>
      </c>
      <c r="B6" s="427"/>
      <c r="C6" s="450" t="s">
        <v>189</v>
      </c>
      <c r="D6" s="451"/>
      <c r="E6" s="451"/>
      <c r="F6" s="451"/>
      <c r="G6" s="452"/>
      <c r="H6" s="257"/>
      <c r="I6" s="268"/>
      <c r="J6" s="257" t="s">
        <v>185</v>
      </c>
      <c r="K6" s="265">
        <v>39624</v>
      </c>
      <c r="L6" s="269" t="s">
        <v>191</v>
      </c>
      <c r="M6" s="236"/>
      <c r="N6" s="236"/>
      <c r="O6" s="236"/>
    </row>
    <row r="7" spans="1:17" ht="14.25">
      <c r="A7" s="270"/>
      <c r="B7" s="271"/>
      <c r="C7" s="257" t="s">
        <v>190</v>
      </c>
      <c r="D7" s="272"/>
      <c r="E7" s="257"/>
      <c r="F7" s="273"/>
      <c r="G7" s="257"/>
      <c r="H7" s="257"/>
      <c r="I7" s="268"/>
      <c r="J7" s="257" t="s">
        <v>187</v>
      </c>
      <c r="K7" s="265">
        <v>39626</v>
      </c>
      <c r="L7" s="274"/>
      <c r="M7" s="236"/>
      <c r="N7" s="236"/>
      <c r="O7" s="236"/>
    </row>
    <row r="8" spans="1:17" ht="14.25">
      <c r="A8" s="259"/>
      <c r="B8" s="260"/>
      <c r="C8" s="257"/>
      <c r="D8" s="272"/>
      <c r="E8" s="257"/>
      <c r="F8" s="273"/>
      <c r="G8" s="257"/>
      <c r="H8" s="257"/>
      <c r="I8" s="268"/>
      <c r="J8" s="257" t="s">
        <v>188</v>
      </c>
      <c r="K8" s="258">
        <v>39631</v>
      </c>
      <c r="L8" s="274"/>
      <c r="M8" s="236"/>
      <c r="N8" s="236"/>
      <c r="O8" s="236"/>
    </row>
    <row r="9" spans="1:17" ht="14.25">
      <c r="A9" s="259"/>
      <c r="B9" s="260"/>
      <c r="C9" s="257"/>
      <c r="D9" s="272"/>
      <c r="E9" s="257"/>
      <c r="F9" s="273"/>
      <c r="G9" s="257"/>
      <c r="H9" s="257"/>
      <c r="I9" s="268"/>
      <c r="J9" s="442" t="s">
        <v>186</v>
      </c>
      <c r="K9" s="442"/>
      <c r="L9" s="274"/>
      <c r="M9" s="236"/>
      <c r="N9" s="236"/>
      <c r="O9" s="236"/>
    </row>
    <row r="10" spans="1:17" ht="14.25">
      <c r="A10" s="405" t="s">
        <v>28</v>
      </c>
      <c r="B10" s="406"/>
      <c r="C10" s="407"/>
      <c r="D10" s="407"/>
      <c r="E10" s="407"/>
      <c r="F10" s="408"/>
      <c r="G10" s="420" t="s">
        <v>29</v>
      </c>
      <c r="H10" s="428"/>
      <c r="I10" s="409" t="s">
        <v>30</v>
      </c>
      <c r="J10" s="410"/>
      <c r="K10" s="410"/>
      <c r="L10" s="455"/>
      <c r="M10" s="236"/>
      <c r="N10" s="241"/>
      <c r="O10" s="236"/>
    </row>
    <row r="11" spans="1:17" ht="15">
      <c r="A11" s="409"/>
      <c r="B11" s="410"/>
      <c r="C11" s="410"/>
      <c r="D11" s="410"/>
      <c r="E11" s="410"/>
      <c r="F11" s="411"/>
      <c r="G11" s="409" t="s">
        <v>149</v>
      </c>
      <c r="H11" s="411"/>
      <c r="I11" s="459" t="s">
        <v>31</v>
      </c>
      <c r="J11" s="460"/>
      <c r="K11" s="458" t="s">
        <v>32</v>
      </c>
      <c r="L11" s="455"/>
      <c r="M11" s="236"/>
      <c r="N11" s="242"/>
      <c r="O11" s="236"/>
    </row>
    <row r="12" spans="1:17" s="374" customFormat="1" ht="30.75" customHeight="1">
      <c r="A12" s="366" t="s">
        <v>33</v>
      </c>
      <c r="B12" s="367" t="s">
        <v>34</v>
      </c>
      <c r="C12" s="366" t="s">
        <v>35</v>
      </c>
      <c r="D12" s="368" t="s">
        <v>36</v>
      </c>
      <c r="E12" s="369" t="s">
        <v>37</v>
      </c>
      <c r="F12" s="365" t="s">
        <v>38</v>
      </c>
      <c r="G12" s="370" t="s">
        <v>39</v>
      </c>
      <c r="H12" s="370" t="s">
        <v>40</v>
      </c>
      <c r="I12" s="371" t="s">
        <v>36</v>
      </c>
      <c r="J12" s="369" t="s">
        <v>41</v>
      </c>
      <c r="K12" s="369" t="s">
        <v>36</v>
      </c>
      <c r="L12" s="369" t="s">
        <v>41</v>
      </c>
      <c r="M12" s="372"/>
      <c r="N12" s="373"/>
      <c r="O12" s="372"/>
    </row>
    <row r="13" spans="1:17" s="243" customFormat="1" ht="38.25">
      <c r="A13" s="275">
        <v>1</v>
      </c>
      <c r="B13" s="276" t="s">
        <v>164</v>
      </c>
      <c r="C13" s="277" t="s">
        <v>150</v>
      </c>
      <c r="D13" s="277">
        <v>142.19</v>
      </c>
      <c r="E13" s="278">
        <v>14401</v>
      </c>
      <c r="F13" s="279">
        <f t="shared" ref="F13:F21" si="0">D13*E13</f>
        <v>2047678.19</v>
      </c>
      <c r="G13" s="280"/>
      <c r="H13" s="280"/>
      <c r="I13" s="281">
        <v>69.2</v>
      </c>
      <c r="J13" s="282">
        <f>I13*E13</f>
        <v>996549.20000000007</v>
      </c>
      <c r="K13" s="281">
        <f>I13+227.05</f>
        <v>296.25</v>
      </c>
      <c r="L13" s="282">
        <f>K13*E13</f>
        <v>4266296.25</v>
      </c>
      <c r="N13" s="244"/>
    </row>
    <row r="14" spans="1:17" s="243" customFormat="1" ht="38.25">
      <c r="A14" s="275">
        <v>2</v>
      </c>
      <c r="B14" s="276" t="s">
        <v>165</v>
      </c>
      <c r="C14" s="277" t="s">
        <v>151</v>
      </c>
      <c r="D14" s="277">
        <v>85.31</v>
      </c>
      <c r="E14" s="278">
        <v>19000</v>
      </c>
      <c r="F14" s="279">
        <f t="shared" si="0"/>
        <v>1620890</v>
      </c>
      <c r="G14" s="280"/>
      <c r="H14" s="280"/>
      <c r="I14" s="281">
        <v>0</v>
      </c>
      <c r="J14" s="282">
        <f t="shared" ref="J14:J21" si="1">I14*E14</f>
        <v>0</v>
      </c>
      <c r="K14" s="281">
        <f>I14+16.85</f>
        <v>16.850000000000001</v>
      </c>
      <c r="L14" s="282">
        <f t="shared" ref="L14:L21" si="2">K14*E14</f>
        <v>320150</v>
      </c>
      <c r="N14" s="244"/>
    </row>
    <row r="15" spans="1:17" s="243" customFormat="1" ht="38.25">
      <c r="A15" s="275">
        <v>3</v>
      </c>
      <c r="B15" s="276" t="s">
        <v>166</v>
      </c>
      <c r="C15" s="277" t="s">
        <v>151</v>
      </c>
      <c r="D15" s="277">
        <v>0.96</v>
      </c>
      <c r="E15" s="283">
        <v>16775.68</v>
      </c>
      <c r="F15" s="279">
        <f t="shared" si="0"/>
        <v>16104.6528</v>
      </c>
      <c r="G15" s="280"/>
      <c r="H15" s="280"/>
      <c r="I15" s="281">
        <v>0</v>
      </c>
      <c r="J15" s="282">
        <f t="shared" si="1"/>
        <v>0</v>
      </c>
      <c r="K15" s="281">
        <f>I15</f>
        <v>0</v>
      </c>
      <c r="L15" s="282">
        <f t="shared" si="2"/>
        <v>0</v>
      </c>
      <c r="N15" s="244"/>
    </row>
    <row r="16" spans="1:17" s="243" customFormat="1" ht="18" customHeight="1">
      <c r="A16" s="275">
        <v>4</v>
      </c>
      <c r="B16" s="276" t="s">
        <v>167</v>
      </c>
      <c r="C16" s="277" t="s">
        <v>150</v>
      </c>
      <c r="D16" s="277">
        <v>142.19</v>
      </c>
      <c r="E16" s="278">
        <v>1591</v>
      </c>
      <c r="F16" s="279">
        <f t="shared" si="0"/>
        <v>226224.29</v>
      </c>
      <c r="G16" s="280"/>
      <c r="H16" s="280"/>
      <c r="I16" s="281">
        <v>0</v>
      </c>
      <c r="J16" s="282">
        <f t="shared" si="1"/>
        <v>0</v>
      </c>
      <c r="K16" s="281">
        <f>I16+84.27</f>
        <v>84.27</v>
      </c>
      <c r="L16" s="282">
        <f t="shared" si="2"/>
        <v>134073.57</v>
      </c>
      <c r="N16" s="244"/>
    </row>
    <row r="17" spans="1:15" s="243" customFormat="1" ht="38.25">
      <c r="A17" s="275">
        <v>5</v>
      </c>
      <c r="B17" s="276" t="s">
        <v>168</v>
      </c>
      <c r="C17" s="277" t="s">
        <v>151</v>
      </c>
      <c r="D17" s="277">
        <v>14.22</v>
      </c>
      <c r="E17" s="278">
        <v>24942</v>
      </c>
      <c r="F17" s="279">
        <f t="shared" si="0"/>
        <v>354675.24</v>
      </c>
      <c r="G17" s="280"/>
      <c r="H17" s="280"/>
      <c r="I17" s="281">
        <v>0</v>
      </c>
      <c r="J17" s="282">
        <f t="shared" si="1"/>
        <v>0</v>
      </c>
      <c r="K17" s="281">
        <f>I17</f>
        <v>0</v>
      </c>
      <c r="L17" s="282">
        <f t="shared" si="2"/>
        <v>0</v>
      </c>
      <c r="N17" s="244"/>
    </row>
    <row r="18" spans="1:15" ht="63.75">
      <c r="A18" s="284">
        <v>6</v>
      </c>
      <c r="B18" s="276" t="s">
        <v>169</v>
      </c>
      <c r="C18" s="285" t="s">
        <v>151</v>
      </c>
      <c r="D18" s="285">
        <v>35.549999999999997</v>
      </c>
      <c r="E18" s="279">
        <v>82393</v>
      </c>
      <c r="F18" s="279">
        <f t="shared" si="0"/>
        <v>2929071.15</v>
      </c>
      <c r="G18" s="280"/>
      <c r="H18" s="280"/>
      <c r="I18" s="281">
        <v>0</v>
      </c>
      <c r="J18" s="282">
        <f t="shared" si="1"/>
        <v>0</v>
      </c>
      <c r="K18" s="281">
        <f>I18</f>
        <v>0</v>
      </c>
      <c r="L18" s="282">
        <f t="shared" si="2"/>
        <v>0</v>
      </c>
      <c r="M18" s="236"/>
      <c r="N18" s="245"/>
      <c r="O18" s="236"/>
    </row>
    <row r="19" spans="1:15" s="243" customFormat="1" ht="38.25">
      <c r="A19" s="275">
        <v>7</v>
      </c>
      <c r="B19" s="276" t="s">
        <v>170</v>
      </c>
      <c r="C19" s="277" t="s">
        <v>151</v>
      </c>
      <c r="D19" s="277">
        <v>21.33</v>
      </c>
      <c r="E19" s="278">
        <v>98076</v>
      </c>
      <c r="F19" s="279">
        <f t="shared" si="0"/>
        <v>2091961.0799999998</v>
      </c>
      <c r="G19" s="280"/>
      <c r="H19" s="280"/>
      <c r="I19" s="281">
        <f>I14</f>
        <v>0</v>
      </c>
      <c r="J19" s="282">
        <f t="shared" si="1"/>
        <v>0</v>
      </c>
      <c r="K19" s="281">
        <f>I19+16.85</f>
        <v>16.850000000000001</v>
      </c>
      <c r="L19" s="282">
        <f t="shared" si="2"/>
        <v>1652580.6</v>
      </c>
      <c r="N19" s="244"/>
    </row>
    <row r="20" spans="1:15" s="243" customFormat="1" ht="38.25">
      <c r="A20" s="275">
        <v>8</v>
      </c>
      <c r="B20" s="276" t="s">
        <v>171</v>
      </c>
      <c r="C20" s="277" t="s">
        <v>150</v>
      </c>
      <c r="D20" s="277">
        <v>142.19</v>
      </c>
      <c r="E20" s="278">
        <v>1493</v>
      </c>
      <c r="F20" s="279">
        <f t="shared" si="0"/>
        <v>212289.66999999998</v>
      </c>
      <c r="G20" s="280"/>
      <c r="H20" s="280"/>
      <c r="I20" s="281">
        <f>I13</f>
        <v>69.2</v>
      </c>
      <c r="J20" s="282">
        <f t="shared" si="1"/>
        <v>103315.6</v>
      </c>
      <c r="K20" s="281">
        <f>K13</f>
        <v>296.25</v>
      </c>
      <c r="L20" s="282">
        <f t="shared" si="2"/>
        <v>442301.25</v>
      </c>
      <c r="N20" s="244"/>
    </row>
    <row r="21" spans="1:15" s="243" customFormat="1" ht="51.75" customHeight="1">
      <c r="A21" s="275">
        <v>9</v>
      </c>
      <c r="B21" s="276" t="s">
        <v>172</v>
      </c>
      <c r="C21" s="277" t="s">
        <v>151</v>
      </c>
      <c r="D21" s="277">
        <v>14.22</v>
      </c>
      <c r="E21" s="278">
        <v>447147</v>
      </c>
      <c r="F21" s="279">
        <f t="shared" si="0"/>
        <v>6358430.3399999999</v>
      </c>
      <c r="G21" s="280"/>
      <c r="H21" s="280"/>
      <c r="I21" s="281">
        <v>2.2413655584955623</v>
      </c>
      <c r="J21" s="282">
        <f t="shared" si="1"/>
        <v>1002219.8853846152</v>
      </c>
      <c r="K21" s="281">
        <f>I21+17.98</f>
        <v>20.221365558495563</v>
      </c>
      <c r="L21" s="282">
        <f t="shared" si="2"/>
        <v>9041922.945384616</v>
      </c>
      <c r="N21" s="244"/>
    </row>
    <row r="22" spans="1:15" ht="14.25">
      <c r="A22" s="284"/>
      <c r="B22" s="276"/>
      <c r="C22" s="285"/>
      <c r="D22" s="285"/>
      <c r="E22" s="277"/>
      <c r="F22" s="279"/>
      <c r="G22" s="280"/>
      <c r="H22" s="280"/>
      <c r="I22" s="281"/>
      <c r="J22" s="282"/>
      <c r="K22" s="281"/>
      <c r="L22" s="282"/>
      <c r="M22" s="236"/>
      <c r="N22" s="245"/>
      <c r="O22" s="236"/>
    </row>
    <row r="23" spans="1:15" ht="14.25">
      <c r="A23" s="286"/>
      <c r="B23" s="287" t="s">
        <v>152</v>
      </c>
      <c r="C23" s="281"/>
      <c r="D23" s="281"/>
      <c r="E23" s="277"/>
      <c r="F23" s="279">
        <f>SUM(F13:F21)</f>
        <v>15857324.6128</v>
      </c>
      <c r="G23" s="280"/>
      <c r="H23" s="280"/>
      <c r="I23" s="288"/>
      <c r="J23" s="282">
        <f>SUM(J13:J21)</f>
        <v>2102084.6853846153</v>
      </c>
      <c r="K23" s="280"/>
      <c r="L23" s="282">
        <f>SUM(L13:L21)</f>
        <v>15857324.615384616</v>
      </c>
      <c r="M23" s="236"/>
      <c r="N23" s="245"/>
      <c r="O23" s="236"/>
    </row>
    <row r="24" spans="1:15" ht="14.25">
      <c r="A24" s="286"/>
      <c r="B24" s="287" t="s">
        <v>173</v>
      </c>
      <c r="C24" s="281"/>
      <c r="D24" s="281"/>
      <c r="E24" s="277"/>
      <c r="F24" s="279">
        <f>F23*0.3</f>
        <v>4757197.3838400003</v>
      </c>
      <c r="G24" s="280"/>
      <c r="H24" s="280"/>
      <c r="I24" s="288"/>
      <c r="J24" s="282">
        <f>J23*0.3</f>
        <v>630625.40561538457</v>
      </c>
      <c r="K24" s="280"/>
      <c r="L24" s="282">
        <f>L23*0.3</f>
        <v>4757197.384615385</v>
      </c>
      <c r="M24" s="236"/>
      <c r="N24" s="245"/>
      <c r="O24" s="236"/>
    </row>
    <row r="25" spans="1:15" ht="14.25">
      <c r="A25" s="289"/>
      <c r="B25" s="290" t="s">
        <v>83</v>
      </c>
      <c r="C25" s="291"/>
      <c r="D25" s="291"/>
      <c r="E25" s="292"/>
      <c r="F25" s="293">
        <f>F23+F24</f>
        <v>20614521.99664</v>
      </c>
      <c r="G25" s="294"/>
      <c r="H25" s="295"/>
      <c r="I25" s="288"/>
      <c r="J25" s="296">
        <f>J23+J24</f>
        <v>2732710.091</v>
      </c>
      <c r="K25" s="297"/>
      <c r="L25" s="293">
        <f>L23+L24</f>
        <v>20614522</v>
      </c>
      <c r="M25" s="236"/>
      <c r="N25" s="246"/>
      <c r="O25" s="236"/>
    </row>
    <row r="26" spans="1:15" ht="14.25">
      <c r="A26" s="298"/>
      <c r="B26" s="299"/>
      <c r="C26" s="300"/>
      <c r="D26" s="300"/>
      <c r="E26" s="301"/>
      <c r="F26" s="301"/>
      <c r="G26" s="302"/>
      <c r="H26" s="303"/>
      <c r="I26" s="304"/>
      <c r="J26" s="301"/>
      <c r="K26" s="305"/>
      <c r="L26" s="306"/>
      <c r="M26" s="236"/>
      <c r="N26" s="246"/>
      <c r="O26" s="236"/>
    </row>
    <row r="27" spans="1:15" ht="14.25">
      <c r="A27" s="307"/>
      <c r="B27" s="308" t="s">
        <v>84</v>
      </c>
      <c r="C27" s="309"/>
      <c r="D27" s="310"/>
      <c r="E27" s="311"/>
      <c r="F27" s="312"/>
      <c r="G27" s="313"/>
      <c r="H27" s="312"/>
      <c r="I27" s="314"/>
      <c r="J27" s="315"/>
      <c r="K27" s="312"/>
      <c r="L27" s="313"/>
      <c r="M27" s="236"/>
      <c r="N27" s="246"/>
      <c r="O27" s="236"/>
    </row>
    <row r="28" spans="1:15" ht="14.25">
      <c r="A28" s="307"/>
      <c r="B28" s="316" t="s">
        <v>56</v>
      </c>
      <c r="C28" s="309"/>
      <c r="D28" s="310"/>
      <c r="E28" s="317">
        <f>F25</f>
        <v>20614521.99664</v>
      </c>
      <c r="F28" s="313" t="s">
        <v>112</v>
      </c>
      <c r="G28" s="313"/>
      <c r="H28" s="318">
        <f>E28*0.5</f>
        <v>10307260.99832</v>
      </c>
      <c r="I28" s="319"/>
      <c r="J28" s="315"/>
      <c r="K28" s="320"/>
      <c r="L28" s="313"/>
      <c r="M28" s="236"/>
      <c r="N28" s="246"/>
      <c r="O28" s="236"/>
    </row>
    <row r="29" spans="1:15" ht="14.25">
      <c r="A29" s="307"/>
      <c r="B29" s="316" t="s">
        <v>53</v>
      </c>
      <c r="C29" s="309"/>
      <c r="D29" s="310"/>
      <c r="E29" s="317">
        <f>E28</f>
        <v>20614521.99664</v>
      </c>
      <c r="F29" s="313"/>
      <c r="G29" s="313"/>
      <c r="H29" s="321"/>
      <c r="I29" s="319"/>
      <c r="J29" s="315"/>
      <c r="K29" s="320"/>
      <c r="L29" s="313"/>
      <c r="M29" s="236"/>
      <c r="N29" s="236"/>
      <c r="O29" s="236"/>
    </row>
    <row r="30" spans="1:15" ht="14.25">
      <c r="A30" s="307"/>
      <c r="B30" s="316" t="s">
        <v>176</v>
      </c>
      <c r="C30" s="404">
        <v>17881812</v>
      </c>
      <c r="D30" s="404"/>
      <c r="E30" s="317"/>
      <c r="F30" s="313"/>
      <c r="G30" s="313"/>
      <c r="H30" s="321"/>
      <c r="I30" s="319"/>
      <c r="J30" s="315"/>
      <c r="K30" s="320"/>
      <c r="L30" s="313"/>
      <c r="M30" s="236"/>
      <c r="N30" s="236"/>
      <c r="O30" s="236"/>
    </row>
    <row r="31" spans="1:15" ht="14.25">
      <c r="A31" s="322"/>
      <c r="B31" s="316" t="s">
        <v>194</v>
      </c>
      <c r="C31" s="404">
        <f>J25</f>
        <v>2732710.091</v>
      </c>
      <c r="D31" s="404"/>
      <c r="E31" s="323"/>
      <c r="F31" s="313" t="s">
        <v>120</v>
      </c>
      <c r="G31" s="313"/>
      <c r="H31" s="279">
        <v>8940906</v>
      </c>
      <c r="I31" s="324"/>
      <c r="J31" s="313"/>
      <c r="K31" s="312"/>
      <c r="L31" s="313"/>
      <c r="M31" s="236"/>
      <c r="N31" s="236"/>
      <c r="O31" s="236"/>
    </row>
    <row r="32" spans="1:15" ht="14.25">
      <c r="A32" s="322"/>
      <c r="B32" s="316" t="s">
        <v>177</v>
      </c>
      <c r="C32" s="453">
        <f>C30+C31</f>
        <v>20614522.090999998</v>
      </c>
      <c r="D32" s="454"/>
      <c r="E32" s="323"/>
      <c r="F32" s="456" t="s">
        <v>178</v>
      </c>
      <c r="G32" s="457"/>
      <c r="H32" s="279">
        <f>J25*0.5</f>
        <v>1366355.0455</v>
      </c>
      <c r="I32" s="324"/>
      <c r="J32" s="313"/>
      <c r="K32" s="312"/>
      <c r="L32" s="313"/>
      <c r="M32" s="236"/>
      <c r="N32" s="236"/>
      <c r="O32" s="236"/>
    </row>
    <row r="33" spans="1:15" ht="15">
      <c r="A33" s="322"/>
      <c r="B33" s="316" t="s">
        <v>58</v>
      </c>
      <c r="C33" s="447"/>
      <c r="D33" s="447"/>
      <c r="E33" s="323"/>
      <c r="F33" s="313" t="s">
        <v>113</v>
      </c>
      <c r="G33" s="313"/>
      <c r="H33" s="279">
        <f>H28-H31-H32</f>
        <v>-4.7179999761283398E-2</v>
      </c>
      <c r="I33" s="324"/>
      <c r="J33" s="313"/>
      <c r="K33" s="312"/>
      <c r="L33" s="325"/>
      <c r="M33" s="236"/>
      <c r="N33" s="236"/>
      <c r="O33" s="236"/>
    </row>
    <row r="34" spans="1:15" ht="14.25">
      <c r="A34" s="322"/>
      <c r="B34" s="308" t="s">
        <v>59</v>
      </c>
      <c r="C34" s="448">
        <f>C32</f>
        <v>20614522.090999998</v>
      </c>
      <c r="D34" s="448"/>
      <c r="E34" s="326">
        <f>E28</f>
        <v>20614521.99664</v>
      </c>
      <c r="F34" s="314"/>
      <c r="G34" s="312"/>
      <c r="H34" s="277"/>
      <c r="I34" s="324"/>
      <c r="J34" s="314"/>
      <c r="K34" s="314"/>
      <c r="L34" s="314"/>
      <c r="M34" s="236"/>
      <c r="N34" s="236"/>
      <c r="O34" s="236"/>
    </row>
    <row r="35" spans="1:15" ht="14.25">
      <c r="A35" s="257"/>
      <c r="B35" s="308"/>
      <c r="C35" s="320"/>
      <c r="D35" s="320"/>
      <c r="E35" s="312"/>
      <c r="F35" s="312"/>
      <c r="G35" s="313" t="s">
        <v>49</v>
      </c>
      <c r="H35" s="312"/>
      <c r="I35" s="314"/>
      <c r="J35" s="312"/>
      <c r="K35" s="327"/>
      <c r="L35" s="317">
        <f>L25</f>
        <v>20614522</v>
      </c>
      <c r="M35" s="236"/>
      <c r="N35" s="236"/>
      <c r="O35" s="236"/>
    </row>
    <row r="36" spans="1:15" ht="14.25">
      <c r="A36" s="257"/>
      <c r="B36" s="308"/>
      <c r="C36" s="320"/>
      <c r="D36" s="320"/>
      <c r="E36" s="312"/>
      <c r="F36" s="312"/>
      <c r="G36" s="431" t="s">
        <v>196</v>
      </c>
      <c r="H36" s="432"/>
      <c r="I36" s="432"/>
      <c r="J36" s="433"/>
      <c r="K36" s="279">
        <f>0.1*F25</f>
        <v>2061452.1996640002</v>
      </c>
      <c r="L36" s="317"/>
      <c r="M36" s="236"/>
      <c r="N36" s="236"/>
      <c r="O36" s="236"/>
    </row>
    <row r="37" spans="1:15" ht="14.25">
      <c r="A37" s="257"/>
      <c r="B37" s="308" t="s">
        <v>51</v>
      </c>
      <c r="C37" s="310"/>
      <c r="D37" s="320" t="s">
        <v>50</v>
      </c>
      <c r="E37" s="328">
        <f>F25</f>
        <v>20614521.99664</v>
      </c>
      <c r="F37" s="312"/>
      <c r="G37" s="444" t="s">
        <v>156</v>
      </c>
      <c r="H37" s="445"/>
      <c r="I37" s="445"/>
      <c r="J37" s="446"/>
      <c r="K37" s="328"/>
      <c r="L37" s="317">
        <v>1788181</v>
      </c>
      <c r="M37" s="236"/>
      <c r="N37" s="236"/>
      <c r="O37" s="236"/>
    </row>
    <row r="38" spans="1:15" ht="14.25">
      <c r="A38" s="257"/>
      <c r="B38" s="308"/>
      <c r="C38" s="310"/>
      <c r="D38" s="320"/>
      <c r="E38" s="328"/>
      <c r="F38" s="312"/>
      <c r="G38" s="444" t="s">
        <v>180</v>
      </c>
      <c r="H38" s="445"/>
      <c r="I38" s="445"/>
      <c r="J38" s="446"/>
      <c r="K38" s="328"/>
      <c r="L38" s="317">
        <v>273271</v>
      </c>
      <c r="M38" s="236"/>
      <c r="N38" s="236"/>
      <c r="O38" s="236"/>
    </row>
    <row r="39" spans="1:15" ht="16.5" customHeight="1">
      <c r="A39" s="257"/>
      <c r="B39" s="308"/>
      <c r="C39" s="310"/>
      <c r="D39" s="320"/>
      <c r="E39" s="328"/>
      <c r="F39" s="312"/>
      <c r="G39" s="436" t="s">
        <v>155</v>
      </c>
      <c r="H39" s="437"/>
      <c r="I39" s="437"/>
      <c r="J39" s="306"/>
      <c r="K39" s="328"/>
      <c r="L39" s="317">
        <f>K36-L37-L38</f>
        <v>0.19966400018893182</v>
      </c>
      <c r="M39" s="236"/>
      <c r="N39" s="236"/>
      <c r="O39" s="236"/>
    </row>
    <row r="40" spans="1:15" ht="18" customHeight="1">
      <c r="A40" s="257"/>
      <c r="B40" s="308"/>
      <c r="C40" s="310"/>
      <c r="D40" s="320"/>
      <c r="E40" s="328"/>
      <c r="F40" s="312"/>
      <c r="G40" s="438" t="s">
        <v>59</v>
      </c>
      <c r="H40" s="439"/>
      <c r="I40" s="439"/>
      <c r="J40" s="306"/>
      <c r="K40" s="328">
        <f>K36</f>
        <v>2061452.1996640002</v>
      </c>
      <c r="L40" s="326">
        <f>L37+L38</f>
        <v>2061452</v>
      </c>
      <c r="M40" s="236"/>
      <c r="N40" s="236"/>
      <c r="O40" s="236"/>
    </row>
    <row r="41" spans="1:15" ht="14.25" customHeight="1">
      <c r="A41" s="257"/>
      <c r="B41" s="308" t="s">
        <v>53</v>
      </c>
      <c r="C41" s="310"/>
      <c r="D41" s="320" t="s">
        <v>50</v>
      </c>
      <c r="E41" s="328">
        <f>E37</f>
        <v>20614521.99664</v>
      </c>
      <c r="F41" s="312"/>
      <c r="G41" s="313" t="s">
        <v>154</v>
      </c>
      <c r="H41" s="312"/>
      <c r="I41" s="314"/>
      <c r="J41" s="312"/>
      <c r="K41" s="327"/>
      <c r="L41" s="317">
        <f>J25*0.5</f>
        <v>1366355.0455</v>
      </c>
      <c r="M41" s="236"/>
      <c r="N41" s="236"/>
      <c r="O41" s="236"/>
    </row>
    <row r="42" spans="1:15" ht="15" customHeight="1">
      <c r="A42" s="257"/>
      <c r="B42" s="308" t="s">
        <v>54</v>
      </c>
      <c r="C42" s="310"/>
      <c r="D42" s="320" t="s">
        <v>50</v>
      </c>
      <c r="E42" s="328">
        <f>L25</f>
        <v>20614522</v>
      </c>
      <c r="F42" s="312"/>
      <c r="G42" s="312" t="s">
        <v>179</v>
      </c>
      <c r="H42" s="312"/>
      <c r="I42" s="314"/>
      <c r="J42" s="312"/>
      <c r="K42" s="327"/>
      <c r="L42" s="328">
        <f>J25*0.5-L38</f>
        <v>1093084.0455</v>
      </c>
      <c r="M42" s="236"/>
      <c r="N42" s="236"/>
      <c r="O42" s="236"/>
    </row>
    <row r="43" spans="1:15" ht="14.25">
      <c r="A43" s="257"/>
      <c r="B43" s="308" t="s">
        <v>85</v>
      </c>
      <c r="C43" s="310"/>
      <c r="D43" s="320" t="s">
        <v>50</v>
      </c>
      <c r="E43" s="328">
        <f>H28-H31</f>
        <v>1366354.9983200002</v>
      </c>
      <c r="F43" s="312"/>
      <c r="G43" s="441" t="s">
        <v>181</v>
      </c>
      <c r="H43" s="442"/>
      <c r="I43" s="442"/>
      <c r="J43" s="442"/>
      <c r="K43" s="442"/>
      <c r="L43" s="442"/>
      <c r="M43" s="236"/>
      <c r="N43" s="236"/>
      <c r="O43" s="236"/>
    </row>
    <row r="44" spans="1:15" ht="14.25">
      <c r="A44" s="254"/>
      <c r="B44" s="329" t="s">
        <v>55</v>
      </c>
      <c r="C44" s="330"/>
      <c r="D44" s="331" t="s">
        <v>50</v>
      </c>
      <c r="E44" s="332">
        <f>E41-E42</f>
        <v>-3.3599995076656342E-3</v>
      </c>
      <c r="F44" s="333"/>
      <c r="G44" s="443"/>
      <c r="H44" s="443"/>
      <c r="I44" s="443"/>
      <c r="J44" s="443"/>
      <c r="K44" s="443"/>
      <c r="L44" s="443"/>
      <c r="M44" s="236"/>
      <c r="N44" s="236"/>
      <c r="O44" s="236"/>
    </row>
    <row r="45" spans="1:15" ht="14.25">
      <c r="A45" s="334"/>
      <c r="B45" s="335"/>
      <c r="C45" s="336"/>
      <c r="D45" s="337"/>
      <c r="E45" s="338"/>
      <c r="F45" s="339"/>
      <c r="G45" s="266"/>
      <c r="H45" s="266"/>
      <c r="I45" s="340"/>
      <c r="J45" s="266"/>
      <c r="K45" s="266"/>
      <c r="L45" s="255"/>
      <c r="M45" s="236"/>
      <c r="N45" s="236"/>
      <c r="O45" s="236"/>
    </row>
    <row r="46" spans="1:15" ht="14.25">
      <c r="A46" s="434" t="s">
        <v>174</v>
      </c>
      <c r="B46" s="435"/>
      <c r="C46" s="435"/>
      <c r="D46" s="435"/>
      <c r="E46" s="435"/>
      <c r="F46" s="435"/>
      <c r="G46" s="435"/>
      <c r="H46" s="435"/>
      <c r="I46" s="435"/>
      <c r="J46" s="435"/>
      <c r="K46" s="435"/>
      <c r="L46" s="440"/>
      <c r="M46" s="236"/>
      <c r="N46" s="236"/>
      <c r="O46" s="236"/>
    </row>
    <row r="47" spans="1:15" ht="14.25">
      <c r="A47" s="434" t="s">
        <v>175</v>
      </c>
      <c r="B47" s="435"/>
      <c r="C47" s="435"/>
      <c r="D47" s="435"/>
      <c r="E47" s="435"/>
      <c r="F47" s="435"/>
      <c r="G47" s="341"/>
      <c r="H47" s="342"/>
      <c r="I47" s="343"/>
      <c r="J47" s="342"/>
      <c r="K47" s="342"/>
      <c r="L47" s="344"/>
      <c r="M47" s="236"/>
      <c r="N47" s="236"/>
      <c r="O47" s="236"/>
    </row>
    <row r="48" spans="1:15" ht="14.25">
      <c r="A48" s="345"/>
      <c r="B48" s="341"/>
      <c r="C48" s="341"/>
      <c r="D48" s="341"/>
      <c r="E48" s="341"/>
      <c r="F48" s="341"/>
      <c r="G48" s="342"/>
      <c r="H48" s="342"/>
      <c r="I48" s="343"/>
      <c r="J48" s="342"/>
      <c r="K48" s="342"/>
      <c r="L48" s="344"/>
      <c r="M48" s="236"/>
      <c r="N48" s="236"/>
      <c r="O48" s="236"/>
    </row>
    <row r="49" spans="1:15" ht="14.25">
      <c r="A49" s="346"/>
      <c r="B49" s="347"/>
      <c r="C49" s="347"/>
      <c r="D49" s="347"/>
      <c r="E49" s="347"/>
      <c r="F49" s="347"/>
      <c r="G49" s="342"/>
      <c r="H49" s="342"/>
      <c r="I49" s="343"/>
      <c r="J49" s="342"/>
      <c r="K49" s="342"/>
      <c r="L49" s="344"/>
      <c r="M49" s="236"/>
      <c r="N49" s="236"/>
      <c r="O49" s="236"/>
    </row>
    <row r="50" spans="1:15" ht="14.25">
      <c r="A50" s="429" t="s">
        <v>189</v>
      </c>
      <c r="B50" s="430"/>
      <c r="C50" s="430"/>
      <c r="D50" s="348"/>
      <c r="E50" s="349"/>
      <c r="F50" s="339"/>
      <c r="G50" s="349" t="s">
        <v>195</v>
      </c>
      <c r="H50" s="266"/>
      <c r="I50" s="349"/>
      <c r="J50" s="349"/>
      <c r="K50" s="349"/>
      <c r="L50" s="350"/>
      <c r="M50" s="236"/>
      <c r="N50" s="236"/>
      <c r="O50" s="236"/>
    </row>
    <row r="51" spans="1:15" ht="14.25">
      <c r="A51" s="351"/>
      <c r="B51" s="352"/>
      <c r="C51" s="342"/>
      <c r="D51" s="353"/>
      <c r="E51" s="342"/>
      <c r="F51" s="354"/>
      <c r="G51" s="342"/>
      <c r="H51" s="341"/>
      <c r="I51" s="342"/>
      <c r="J51" s="342"/>
      <c r="K51" s="342"/>
      <c r="L51" s="355"/>
      <c r="M51" s="236"/>
      <c r="N51" s="236"/>
      <c r="O51" s="236"/>
    </row>
    <row r="52" spans="1:15" ht="14.25">
      <c r="A52" s="345"/>
      <c r="B52" s="342"/>
      <c r="C52" s="342"/>
      <c r="D52" s="356"/>
      <c r="E52" s="341"/>
      <c r="F52" s="357"/>
      <c r="G52" s="342"/>
      <c r="H52" s="341"/>
      <c r="I52" s="343"/>
      <c r="J52" s="342"/>
      <c r="K52" s="342"/>
      <c r="L52" s="344"/>
      <c r="M52" s="236"/>
      <c r="N52" s="236"/>
      <c r="O52" s="236"/>
    </row>
    <row r="53" spans="1:15" ht="20.25" customHeight="1">
      <c r="A53" s="358" t="s">
        <v>61</v>
      </c>
      <c r="B53" s="359"/>
      <c r="C53" s="359"/>
      <c r="D53" s="360"/>
      <c r="E53" s="359"/>
      <c r="F53" s="361"/>
      <c r="G53" s="359" t="s">
        <v>24</v>
      </c>
      <c r="H53" s="359"/>
      <c r="I53" s="362"/>
      <c r="J53" s="359"/>
      <c r="K53" s="363"/>
      <c r="L53" s="364"/>
      <c r="M53" s="236"/>
      <c r="N53" s="236"/>
      <c r="O53" s="236"/>
    </row>
    <row r="54" spans="1:15" ht="14.25">
      <c r="A54" s="238"/>
      <c r="B54" s="238"/>
      <c r="C54" s="238"/>
      <c r="D54" s="247"/>
      <c r="E54" s="238"/>
      <c r="F54" s="248"/>
      <c r="G54" s="249"/>
      <c r="H54" s="238"/>
      <c r="I54" s="250"/>
      <c r="J54" s="238"/>
      <c r="K54" s="238"/>
      <c r="L54" s="238"/>
      <c r="M54" s="236"/>
      <c r="N54" s="236"/>
      <c r="O54" s="236"/>
    </row>
    <row r="55" spans="1:15">
      <c r="A55" s="238"/>
      <c r="B55" s="238"/>
      <c r="C55" s="238"/>
      <c r="D55" s="247"/>
      <c r="E55" s="238"/>
      <c r="F55" s="248"/>
      <c r="G55" s="249"/>
      <c r="H55" s="238"/>
      <c r="I55" s="250"/>
      <c r="J55" s="238"/>
      <c r="K55" s="238"/>
      <c r="L55" s="238"/>
    </row>
    <row r="56" spans="1:15">
      <c r="A56" s="238"/>
      <c r="B56" s="238"/>
      <c r="C56" s="238"/>
      <c r="D56" s="247"/>
      <c r="E56" s="238"/>
      <c r="F56" s="248"/>
      <c r="G56" s="238"/>
      <c r="H56" s="238"/>
      <c r="I56" s="250"/>
      <c r="J56" s="238"/>
      <c r="K56" s="238"/>
      <c r="L56" s="238"/>
    </row>
    <row r="57" spans="1:15">
      <c r="A57" s="238"/>
      <c r="B57" s="238"/>
      <c r="C57" s="238"/>
      <c r="D57" s="247"/>
      <c r="E57" s="238"/>
      <c r="F57" s="248"/>
      <c r="G57" s="238"/>
      <c r="H57" s="238"/>
      <c r="I57" s="250"/>
      <c r="J57" s="238"/>
      <c r="K57" s="238"/>
      <c r="L57" s="238"/>
    </row>
    <row r="58" spans="1:15">
      <c r="A58" s="238"/>
      <c r="B58" s="238"/>
      <c r="C58" s="238"/>
      <c r="D58" s="247"/>
      <c r="E58" s="238"/>
      <c r="F58" s="248"/>
      <c r="G58" s="238"/>
      <c r="H58" s="238"/>
      <c r="I58" s="250"/>
      <c r="J58" s="238"/>
      <c r="K58" s="238"/>
      <c r="L58" s="238"/>
    </row>
  </sheetData>
  <mergeCells count="35">
    <mergeCell ref="C33:D33"/>
    <mergeCell ref="C34:D34"/>
    <mergeCell ref="G37:J37"/>
    <mergeCell ref="L4:L5"/>
    <mergeCell ref="J9:K9"/>
    <mergeCell ref="C6:G6"/>
    <mergeCell ref="C32:D32"/>
    <mergeCell ref="G10:H10"/>
    <mergeCell ref="I10:L10"/>
    <mergeCell ref="G11:H11"/>
    <mergeCell ref="F32:G32"/>
    <mergeCell ref="K11:L11"/>
    <mergeCell ref="I11:J11"/>
    <mergeCell ref="A50:C50"/>
    <mergeCell ref="G36:J36"/>
    <mergeCell ref="A47:F47"/>
    <mergeCell ref="G39:I39"/>
    <mergeCell ref="G40:I40"/>
    <mergeCell ref="A46:L46"/>
    <mergeCell ref="G43:L44"/>
    <mergeCell ref="G38:J38"/>
    <mergeCell ref="L2:L3"/>
    <mergeCell ref="C5:G5"/>
    <mergeCell ref="C31:D31"/>
    <mergeCell ref="A10:F11"/>
    <mergeCell ref="C30:D30"/>
    <mergeCell ref="D1:I2"/>
    <mergeCell ref="J1:K1"/>
    <mergeCell ref="A2:B2"/>
    <mergeCell ref="A1:B1"/>
    <mergeCell ref="C3:D3"/>
    <mergeCell ref="C4:H4"/>
    <mergeCell ref="A6:B6"/>
    <mergeCell ref="A5:B5"/>
    <mergeCell ref="A4:B4"/>
  </mergeCells>
  <phoneticPr fontId="28" type="noConversion"/>
  <printOptions horizontalCentered="1" verticalCentered="1"/>
  <pageMargins left="0.39370078740157483" right="0.39370078740157483" top="0.59055118110236227" bottom="0.59055118110236227" header="0" footer="0"/>
  <pageSetup scale="77" orientation="landscape" horizontalDpi="240" verticalDpi="144" r:id="rId1"/>
  <headerFooter differentOddEven="1" alignWithMargins="0">
    <oddHeader>&amp;C
&amp;"Arial,Negrita"ANEXO 6.&amp;R&amp;"Felix Titling,Cursiva"&amp;12&amp;KC00000LAUREN GÜIZA MERA   &amp;"Arial,Normal"&amp;10&amp;K000000
&amp;"Felix Titling,Negrita"UNIVERSIDAD DEL CAUCA&amp;"Arial,Normal"
&amp;"Felix Titling,Negrita"&amp;UFACULTAD DE INGENIERIa CIVIL</oddHeader>
    <oddFooter>&amp;R&amp;"Verdana,Normal"&amp;11 105</oddFooter>
    <evenHeader>&amp;C&amp;"Arial,Negrita"
ANEXO 6.&amp;R&amp;"Felix Titling,Cursiva"&amp;12&amp;KC00000LAUREN GÜIZA MERA&amp;"Arial,Normal"&amp;10&amp;K000000   
&amp;"Felix Titling,Negrita"UNIVERSIDAD DEL CAUCA&amp;"Arial,Normal"
&amp;"Felix Titling,Negrita"&amp;UFACULTAD DE INGENIERIa CIVIL</evenHeader>
    <evenFooter>&amp;R&amp;"Verdana,Normal"&amp;11 106</evenFooter>
    <firstFooter>&amp;R104</firstFooter>
  </headerFooter>
  <rowBreaks count="1" manualBreakCount="1">
    <brk id="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Inv. ANTICIPO</vt:lpstr>
      <vt:lpstr>Acta 01 Cc235-03 </vt:lpstr>
      <vt:lpstr>Acta 02-FINAL 480-05</vt:lpstr>
      <vt:lpstr>'Acta 02-FINAL 480-05'!Área_de_impresión</vt:lpstr>
      <vt:lpstr>'Acta 01 Cc235-03 '!Títulos_a_imprimir</vt:lpstr>
      <vt:lpstr>'Acta 02-FINAL 480-05'!Títulos_a_imprimir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GUZMAN</dc:creator>
  <cp:lastModifiedBy>NEGRITA</cp:lastModifiedBy>
  <cp:lastPrinted>2009-02-04T20:01:23Z</cp:lastPrinted>
  <dcterms:created xsi:type="dcterms:W3CDTF">2002-01-25T01:30:54Z</dcterms:created>
  <dcterms:modified xsi:type="dcterms:W3CDTF">2009-02-04T21:05:27Z</dcterms:modified>
</cp:coreProperties>
</file>