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G:\"/>
    </mc:Choice>
  </mc:AlternateContent>
  <bookViews>
    <workbookView xWindow="0" yWindow="0" windowWidth="20760" windowHeight="11190" firstSheet="4" activeTab="4"/>
  </bookViews>
  <sheets>
    <sheet name="Hoja2" sheetId="2" state="hidden" r:id="rId1"/>
    <sheet name="GOBIERNO" sheetId="4" state="hidden" r:id="rId2"/>
    <sheet name="SALUD" sheetId="3" state="hidden" r:id="rId3"/>
    <sheet name="EDUCACION" sheetId="5" state="hidden" r:id="rId4"/>
    <sheet name="infraestructura " sheetId="1" r:id="rId5"/>
    <sheet name="INDEPORTES" sheetId="6" state="hidden" r:id="rId6"/>
    <sheet name="Hoja3" sheetId="7" state="hidden" r:id="rId7"/>
    <sheet name="mujer- general " sheetId="8" state="hidden" r:id="rId8"/>
    <sheet name="Hoja4" sheetId="9" state="hidden" r:id="rId9"/>
    <sheet name="Hoja5" sheetId="10" state="hidden" r:id="rId10"/>
    <sheet name="comparacion" sheetId="11" state="hidden" r:id="rId11"/>
    <sheet name="Hoja1" sheetId="12" state="hidden" r:id="rId12"/>
  </sheets>
  <definedNames>
    <definedName name="_xlnm._FilterDatabase" localSheetId="10" hidden="1">comparacion!$A$2:$U$72</definedName>
    <definedName name="_xlnm._FilterDatabase" localSheetId="4" hidden="1">'infraestructura '!$A$2:$AN$275</definedName>
  </definedNames>
  <calcPr calcId="152511" calcMode="autoNoTable"/>
</workbook>
</file>

<file path=xl/calcChain.xml><?xml version="1.0" encoding="utf-8"?>
<calcChain xmlns="http://schemas.openxmlformats.org/spreadsheetml/2006/main">
  <c r="AG275" i="1" l="1"/>
  <c r="U275" i="1"/>
  <c r="S275" i="1"/>
  <c r="M275" i="1"/>
  <c r="AG273" i="1"/>
  <c r="AN273" i="1" s="1"/>
  <c r="AG272" i="1"/>
  <c r="AN272" i="1" s="1"/>
  <c r="AG271" i="1"/>
  <c r="U271" i="1"/>
  <c r="S271" i="1"/>
  <c r="M271" i="1"/>
  <c r="M274" i="1" s="1"/>
  <c r="AG270" i="1"/>
  <c r="AN270" i="1" s="1"/>
  <c r="AG269" i="1"/>
  <c r="AN269" i="1" s="1"/>
  <c r="U268" i="1"/>
  <c r="M268" i="1"/>
  <c r="AG267" i="1"/>
  <c r="AN267" i="1" s="1"/>
  <c r="AG266" i="1"/>
  <c r="AN266" i="1" s="1"/>
  <c r="AG265" i="1"/>
  <c r="AN265" i="1" s="1"/>
  <c r="AG264" i="1"/>
  <c r="AN264" i="1" s="1"/>
  <c r="U262" i="1"/>
  <c r="M262" i="1"/>
  <c r="AG261" i="1"/>
  <c r="W260" i="1"/>
  <c r="AG260" i="1" s="1"/>
  <c r="AG259" i="1"/>
  <c r="AM258" i="1"/>
  <c r="U258" i="1"/>
  <c r="M258" i="1"/>
  <c r="AG257" i="1"/>
  <c r="AN257" i="1" s="1"/>
  <c r="AG256" i="1"/>
  <c r="AN256" i="1" s="1"/>
  <c r="AG255" i="1"/>
  <c r="AN255" i="1" s="1"/>
  <c r="AG254" i="1"/>
  <c r="AN254" i="1" s="1"/>
  <c r="AG253" i="1"/>
  <c r="AN253" i="1" s="1"/>
  <c r="AG252" i="1"/>
  <c r="AN252" i="1" s="1"/>
  <c r="V251" i="1"/>
  <c r="AG251" i="1" s="1"/>
  <c r="AN251" i="1" s="1"/>
  <c r="AM250" i="1"/>
  <c r="M250" i="1"/>
  <c r="AG249" i="1"/>
  <c r="AN249" i="1" s="1"/>
  <c r="U249" i="1"/>
  <c r="S249" i="1"/>
  <c r="AG248" i="1"/>
  <c r="AN248" i="1" s="1"/>
  <c r="W247" i="1"/>
  <c r="AG247" i="1" s="1"/>
  <c r="U247" i="1"/>
  <c r="S247" i="1"/>
  <c r="AM246" i="1"/>
  <c r="U246" i="1"/>
  <c r="AG245" i="1"/>
  <c r="AG244" i="1"/>
  <c r="AN244" i="1" s="1"/>
  <c r="AG243" i="1"/>
  <c r="AN243" i="1" s="1"/>
  <c r="AG242" i="1"/>
  <c r="AN242" i="1" s="1"/>
  <c r="AG241" i="1"/>
  <c r="AN241" i="1" s="1"/>
  <c r="AG240" i="1"/>
  <c r="AN240" i="1" s="1"/>
  <c r="AG239" i="1"/>
  <c r="AN239" i="1" s="1"/>
  <c r="AG238" i="1"/>
  <c r="AG237" i="1"/>
  <c r="AN237" i="1" s="1"/>
  <c r="AG236" i="1"/>
  <c r="AN236" i="1" s="1"/>
  <c r="AG235" i="1"/>
  <c r="AG234" i="1"/>
  <c r="M234" i="1"/>
  <c r="M246" i="1" s="1"/>
  <c r="AG233" i="1"/>
  <c r="AG232" i="1"/>
  <c r="AM231" i="1"/>
  <c r="U231" i="1"/>
  <c r="M231" i="1"/>
  <c r="AG230" i="1"/>
  <c r="AG229" i="1"/>
  <c r="AG228" i="1"/>
  <c r="AN228" i="1" s="1"/>
  <c r="AG227" i="1"/>
  <c r="AN227" i="1" s="1"/>
  <c r="AG226" i="1"/>
  <c r="AN226" i="1" s="1"/>
  <c r="AG225" i="1"/>
  <c r="AN225" i="1" s="1"/>
  <c r="AG224" i="1"/>
  <c r="AN224" i="1" s="1"/>
  <c r="AG223" i="1"/>
  <c r="AN223" i="1" s="1"/>
  <c r="AG222" i="1"/>
  <c r="AN222" i="1" s="1"/>
  <c r="AG221" i="1"/>
  <c r="AN221" i="1" s="1"/>
  <c r="AG220" i="1"/>
  <c r="AM219" i="1"/>
  <c r="U219" i="1"/>
  <c r="M219" i="1"/>
  <c r="AG218" i="1"/>
  <c r="AN218" i="1" s="1"/>
  <c r="AG217" i="1"/>
  <c r="AN217" i="1" s="1"/>
  <c r="AG216" i="1"/>
  <c r="AN216" i="1" s="1"/>
  <c r="AG215" i="1"/>
  <c r="AG214" i="1"/>
  <c r="AG213" i="1"/>
  <c r="AG212" i="1"/>
  <c r="AG211" i="1"/>
  <c r="AG210" i="1"/>
  <c r="AN210" i="1" s="1"/>
  <c r="AG209" i="1"/>
  <c r="AN209" i="1" s="1"/>
  <c r="AG208" i="1"/>
  <c r="AN208" i="1" s="1"/>
  <c r="AG207" i="1"/>
  <c r="AN207" i="1" s="1"/>
  <c r="AG206" i="1"/>
  <c r="U206" i="1"/>
  <c r="S206" i="1"/>
  <c r="AG205" i="1"/>
  <c r="AN205" i="1" s="1"/>
  <c r="AG204" i="1"/>
  <c r="AN204" i="1" s="1"/>
  <c r="AM203" i="1"/>
  <c r="U203" i="1"/>
  <c r="S203" i="1"/>
  <c r="M203" i="1"/>
  <c r="AG202" i="1"/>
  <c r="AN202" i="1" s="1"/>
  <c r="AG201" i="1"/>
  <c r="AN201" i="1" s="1"/>
  <c r="AG200" i="1"/>
  <c r="AN200" i="1" s="1"/>
  <c r="AG199" i="1"/>
  <c r="AN199" i="1" s="1"/>
  <c r="AG198" i="1"/>
  <c r="AN198" i="1" s="1"/>
  <c r="AG197" i="1"/>
  <c r="AN197" i="1" s="1"/>
  <c r="AG196" i="1"/>
  <c r="AN196" i="1" s="1"/>
  <c r="AG195" i="1"/>
  <c r="AN195" i="1" s="1"/>
  <c r="AG194" i="1"/>
  <c r="AN194" i="1" s="1"/>
  <c r="AG193" i="1"/>
  <c r="AN193" i="1" s="1"/>
  <c r="AG192" i="1"/>
  <c r="AN192" i="1" s="1"/>
  <c r="AG191" i="1"/>
  <c r="AN191" i="1" s="1"/>
  <c r="AG190" i="1"/>
  <c r="AG189" i="1"/>
  <c r="AN189" i="1" s="1"/>
  <c r="AM188" i="1"/>
  <c r="U188" i="1"/>
  <c r="M188" i="1"/>
  <c r="AN187" i="1"/>
  <c r="AN188" i="1" s="1"/>
  <c r="AG186" i="1"/>
  <c r="AG185" i="1"/>
  <c r="AM184" i="1"/>
  <c r="U184" i="1"/>
  <c r="M184" i="1"/>
  <c r="AG183" i="1"/>
  <c r="AN183" i="1" s="1"/>
  <c r="AG182" i="1"/>
  <c r="AN182" i="1" s="1"/>
  <c r="AM181" i="1"/>
  <c r="M181" i="1"/>
  <c r="AG180" i="1"/>
  <c r="U180" i="1"/>
  <c r="S180" i="1"/>
  <c r="AG179" i="1"/>
  <c r="AN179" i="1" s="1"/>
  <c r="AG178" i="1"/>
  <c r="U178" i="1"/>
  <c r="S178" i="1"/>
  <c r="AG177" i="1"/>
  <c r="U177" i="1"/>
  <c r="S177" i="1"/>
  <c r="AG176" i="1"/>
  <c r="M174" i="1"/>
  <c r="AG173" i="1"/>
  <c r="AG172" i="1"/>
  <c r="M171" i="1"/>
  <c r="AG170" i="1"/>
  <c r="AG169" i="1"/>
  <c r="AM168" i="1"/>
  <c r="U168" i="1"/>
  <c r="T168" i="1"/>
  <c r="S168" i="1"/>
  <c r="R168" i="1"/>
  <c r="M168" i="1"/>
  <c r="AG167" i="1"/>
  <c r="AN167" i="1" s="1"/>
  <c r="AG166" i="1"/>
  <c r="AN166" i="1" s="1"/>
  <c r="AG165" i="1"/>
  <c r="AN165" i="1" s="1"/>
  <c r="AN164" i="1"/>
  <c r="AG163" i="1"/>
  <c r="AN163" i="1" s="1"/>
  <c r="AG162" i="1"/>
  <c r="AN162" i="1" s="1"/>
  <c r="AG161" i="1"/>
  <c r="AN161" i="1" s="1"/>
  <c r="W160" i="1"/>
  <c r="AG160" i="1" s="1"/>
  <c r="AN160" i="1" s="1"/>
  <c r="AG159" i="1"/>
  <c r="AN159" i="1" s="1"/>
  <c r="AG158" i="1"/>
  <c r="AN158" i="1" s="1"/>
  <c r="AG157" i="1"/>
  <c r="AN157" i="1" s="1"/>
  <c r="W156" i="1"/>
  <c r="AG156" i="1" s="1"/>
  <c r="AN156" i="1" s="1"/>
  <c r="AG155" i="1"/>
  <c r="AM154" i="1"/>
  <c r="M154" i="1"/>
  <c r="AG153" i="1"/>
  <c r="AN153" i="1" s="1"/>
  <c r="AG152" i="1"/>
  <c r="AN152" i="1" s="1"/>
  <c r="AG151" i="1"/>
  <c r="AN151" i="1" s="1"/>
  <c r="AG150" i="1"/>
  <c r="AN150" i="1" s="1"/>
  <c r="AG149" i="1"/>
  <c r="AN149" i="1" s="1"/>
  <c r="AG148" i="1"/>
  <c r="U148" i="1"/>
  <c r="U154" i="1" s="1"/>
  <c r="S148" i="1"/>
  <c r="AG147" i="1"/>
  <c r="AN147" i="1" s="1"/>
  <c r="W146" i="1"/>
  <c r="AG146" i="1" s="1"/>
  <c r="AN146" i="1" s="1"/>
  <c r="AG145" i="1"/>
  <c r="AN145" i="1" s="1"/>
  <c r="W144" i="1"/>
  <c r="AG144" i="1" s="1"/>
  <c r="AN144" i="1" s="1"/>
  <c r="Y143" i="1"/>
  <c r="X143" i="1"/>
  <c r="W143" i="1"/>
  <c r="S143" i="1"/>
  <c r="AM142" i="1"/>
  <c r="U142" i="1"/>
  <c r="M142" i="1"/>
  <c r="AG141" i="1"/>
  <c r="AN141" i="1" s="1"/>
  <c r="AG140" i="1"/>
  <c r="AN140" i="1" s="1"/>
  <c r="AG139" i="1"/>
  <c r="AN139" i="1" s="1"/>
  <c r="W138" i="1"/>
  <c r="AG138" i="1" s="1"/>
  <c r="AN138" i="1" s="1"/>
  <c r="AG137" i="1"/>
  <c r="AN137" i="1" s="1"/>
  <c r="AG136" i="1"/>
  <c r="AN136" i="1" s="1"/>
  <c r="AG135" i="1"/>
  <c r="AN135" i="1" s="1"/>
  <c r="AG134" i="1"/>
  <c r="AN134" i="1" s="1"/>
  <c r="AG133" i="1"/>
  <c r="AN133" i="1" s="1"/>
  <c r="AG132" i="1"/>
  <c r="AN132" i="1" s="1"/>
  <c r="AG131" i="1"/>
  <c r="AN131" i="1" s="1"/>
  <c r="W130" i="1"/>
  <c r="AG130" i="1" s="1"/>
  <c r="AN130" i="1" s="1"/>
  <c r="AG129" i="1"/>
  <c r="AG127" i="1"/>
  <c r="AN127" i="1" s="1"/>
  <c r="AG126" i="1"/>
  <c r="AN126" i="1" s="1"/>
  <c r="AG125" i="1"/>
  <c r="AM124" i="1"/>
  <c r="M124" i="1"/>
  <c r="AG123" i="1"/>
  <c r="AG122" i="1"/>
  <c r="AN122" i="1" s="1"/>
  <c r="AG121" i="1"/>
  <c r="AN121" i="1" s="1"/>
  <c r="AG120" i="1"/>
  <c r="U120" i="1"/>
  <c r="U124" i="1" s="1"/>
  <c r="S120" i="1"/>
  <c r="U119" i="1"/>
  <c r="M119" i="1"/>
  <c r="AG118" i="1"/>
  <c r="AG117" i="1"/>
  <c r="AG116" i="1"/>
  <c r="S116" i="1"/>
  <c r="AG115" i="1"/>
  <c r="AN180" i="1" l="1"/>
  <c r="AN206" i="1"/>
  <c r="AG171" i="1"/>
  <c r="AG181" i="1"/>
  <c r="AG119" i="1"/>
  <c r="AG143" i="1"/>
  <c r="AN143" i="1" s="1"/>
  <c r="AG174" i="1"/>
  <c r="AG203" i="1"/>
  <c r="AG219" i="1"/>
  <c r="AN258" i="1"/>
  <c r="AN115" i="1"/>
  <c r="AN148" i="1"/>
  <c r="AG188" i="1"/>
  <c r="U250" i="1"/>
  <c r="AN271" i="1"/>
  <c r="AN120" i="1"/>
  <c r="AG168" i="1"/>
  <c r="AD168" i="1" s="1"/>
  <c r="U181" i="1"/>
  <c r="AN178" i="1"/>
  <c r="AG246" i="1"/>
  <c r="AG142" i="1"/>
  <c r="AN177" i="1"/>
  <c r="AN184" i="1"/>
  <c r="AG231" i="1"/>
  <c r="AG262" i="1"/>
  <c r="AG274" i="1"/>
  <c r="AG258" i="1"/>
  <c r="AG268" i="1"/>
  <c r="AN246" i="1"/>
  <c r="AG250" i="1"/>
  <c r="AN247" i="1"/>
  <c r="AN250" i="1" s="1"/>
  <c r="AN215" i="1"/>
  <c r="AN219" i="1" s="1"/>
  <c r="AN220" i="1"/>
  <c r="AN231" i="1" s="1"/>
  <c r="AG154" i="1"/>
  <c r="AG184" i="1"/>
  <c r="AN129" i="1"/>
  <c r="AN142" i="1" s="1"/>
  <c r="AN155" i="1"/>
  <c r="AN168" i="1" s="1"/>
  <c r="AN176" i="1"/>
  <c r="AN190" i="1"/>
  <c r="AN203" i="1" s="1"/>
  <c r="AG124" i="1"/>
  <c r="F75" i="11"/>
  <c r="E73" i="11"/>
  <c r="AN181" i="1" l="1"/>
  <c r="AN154" i="1"/>
  <c r="AE124" i="1"/>
  <c r="AN124" i="1"/>
  <c r="F90" i="11"/>
  <c r="G90" i="11"/>
  <c r="H90" i="11"/>
  <c r="E90" i="11"/>
  <c r="J79" i="11" l="1"/>
  <c r="J85" i="11"/>
  <c r="J78" i="11"/>
  <c r="J89" i="11"/>
  <c r="J82" i="11"/>
  <c r="J86" i="11"/>
  <c r="J81" i="11"/>
  <c r="J83" i="11"/>
  <c r="J87" i="11"/>
  <c r="J80" i="11"/>
  <c r="J84" i="11"/>
  <c r="J88" i="11"/>
  <c r="I90" i="11"/>
  <c r="I80" i="11"/>
  <c r="I84" i="11"/>
  <c r="I88" i="11"/>
  <c r="I81" i="11"/>
  <c r="I85" i="11"/>
  <c r="I89" i="11"/>
  <c r="I82" i="11"/>
  <c r="I86" i="11"/>
  <c r="I78" i="11"/>
  <c r="I79" i="11"/>
  <c r="I83" i="11"/>
  <c r="I87" i="11"/>
  <c r="E105" i="11"/>
  <c r="A13" i="11"/>
  <c r="A14" i="11" s="1"/>
  <c r="A15" i="11" s="1"/>
  <c r="A16" i="11" s="1"/>
  <c r="A17" i="11" s="1"/>
  <c r="A23" i="11" s="1"/>
  <c r="A24" i="11" s="1"/>
  <c r="A25" i="11" s="1"/>
  <c r="A26" i="11" s="1"/>
  <c r="A22" i="11" s="1"/>
  <c r="A28" i="11" s="1"/>
  <c r="A35" i="11" s="1"/>
  <c r="A32" i="11" s="1"/>
  <c r="A36" i="11" s="1"/>
  <c r="A33" i="11" s="1"/>
  <c r="A34" i="11" s="1"/>
  <c r="A39" i="11" s="1"/>
  <c r="A31" i="11" s="1"/>
  <c r="A37" i="11" s="1"/>
  <c r="A29" i="11" s="1"/>
  <c r="A30" i="11" s="1"/>
  <c r="A40" i="11" s="1"/>
  <c r="A43" i="11" s="1"/>
  <c r="A20" i="11" s="1"/>
  <c r="A41" i="11" s="1"/>
  <c r="A44" i="11" s="1"/>
  <c r="A45" i="11" s="1"/>
  <c r="A18" i="11" s="1"/>
  <c r="A42" i="11" s="1"/>
  <c r="A46" i="11" s="1"/>
  <c r="A27" i="11" s="1"/>
  <c r="A21" i="11" s="1"/>
  <c r="A52" i="11" s="1"/>
  <c r="A50" i="11" s="1"/>
  <c r="A48" i="11" s="1"/>
  <c r="A49" i="11" s="1"/>
  <c r="A51" i="11" s="1"/>
  <c r="A47" i="11" s="1"/>
  <c r="A11" i="11" s="1"/>
  <c r="A56" i="11" s="1"/>
  <c r="A54" i="11" s="1"/>
  <c r="A59" i="11" s="1"/>
  <c r="A60" i="11" s="1"/>
  <c r="A19" i="11" s="1"/>
  <c r="A61" i="11" s="1"/>
  <c r="A58" i="11" s="1"/>
  <c r="A62" i="11" s="1"/>
  <c r="A55" i="11" s="1"/>
  <c r="A57" i="11" s="1"/>
  <c r="A6" i="11" s="1"/>
  <c r="A8" i="11" s="1"/>
  <c r="A63" i="11" s="1"/>
  <c r="A4" i="11" s="1"/>
  <c r="A10" i="11" s="1"/>
  <c r="A53" i="11" s="1"/>
  <c r="A38" i="11" s="1"/>
  <c r="A9" i="11" s="1"/>
  <c r="A7" i="11" s="1"/>
  <c r="A5" i="11" s="1"/>
  <c r="J90" i="11" l="1"/>
  <c r="F91" i="11"/>
  <c r="AG25" i="8"/>
  <c r="J38" i="11"/>
  <c r="J9" i="11"/>
  <c r="J7" i="11"/>
  <c r="L53" i="11"/>
  <c r="L10" i="11" l="1"/>
  <c r="M59" i="11" l="1"/>
  <c r="L41" i="11" l="1"/>
  <c r="L30" i="11" l="1"/>
  <c r="L29" i="11"/>
  <c r="M29" i="11"/>
  <c r="P16" i="11" l="1"/>
  <c r="O16" i="11"/>
  <c r="O15" i="11"/>
  <c r="P15" i="11"/>
  <c r="P14" i="11"/>
  <c r="P13" i="11"/>
  <c r="O13" i="11"/>
  <c r="O14" i="11"/>
  <c r="O12" i="11"/>
  <c r="L13" i="11"/>
  <c r="M12" i="11"/>
  <c r="AN25" i="8"/>
  <c r="U23" i="8"/>
  <c r="S23" i="8"/>
  <c r="M23" i="8"/>
  <c r="M26" i="8" s="1"/>
  <c r="AG22" i="8"/>
  <c r="AN22" i="8" s="1"/>
  <c r="AG23" i="8"/>
  <c r="AN23" i="8" s="1"/>
  <c r="AG24" i="8"/>
  <c r="AN24" i="8" s="1"/>
  <c r="AG21" i="8"/>
  <c r="M9" i="11"/>
  <c r="U20" i="8"/>
  <c r="M20" i="8"/>
  <c r="AG18" i="8"/>
  <c r="AN18" i="8" s="1"/>
  <c r="AG19" i="8"/>
  <c r="AN19" i="8" s="1"/>
  <c r="AG17" i="8"/>
  <c r="AN17" i="8" s="1"/>
  <c r="AG16" i="8"/>
  <c r="AN16" i="8" s="1"/>
  <c r="U14" i="8"/>
  <c r="M14" i="8"/>
  <c r="W12" i="8"/>
  <c r="AN21" i="8" l="1"/>
  <c r="AG26" i="8"/>
  <c r="AG20" i="8"/>
  <c r="H5" i="11"/>
  <c r="L9" i="11"/>
  <c r="L7" i="11"/>
  <c r="J53" i="11"/>
  <c r="H73" i="11" l="1"/>
  <c r="H91" i="11" s="1"/>
  <c r="L5" i="11"/>
  <c r="AG11" i="8"/>
  <c r="AG12" i="8"/>
  <c r="AG13" i="8"/>
  <c r="U27" i="8"/>
  <c r="G5" i="11"/>
  <c r="AG27" i="8"/>
  <c r="AG9" i="8"/>
  <c r="S27" i="8"/>
  <c r="M27" i="8"/>
  <c r="F96" i="11"/>
  <c r="M54" i="11"/>
  <c r="M60" i="11"/>
  <c r="M61" i="11"/>
  <c r="M58" i="11"/>
  <c r="M62" i="11"/>
  <c r="M55" i="11"/>
  <c r="M57" i="11"/>
  <c r="M8" i="11"/>
  <c r="M63" i="11"/>
  <c r="M4" i="11"/>
  <c r="M10" i="11"/>
  <c r="M53" i="11"/>
  <c r="M38" i="11"/>
  <c r="M7" i="11"/>
  <c r="M56" i="11"/>
  <c r="M23" i="11"/>
  <c r="M24" i="11"/>
  <c r="M22" i="11"/>
  <c r="M28" i="11"/>
  <c r="M33" i="11"/>
  <c r="M34" i="11"/>
  <c r="M39" i="11"/>
  <c r="M31" i="11"/>
  <c r="M37" i="11"/>
  <c r="M30" i="11"/>
  <c r="M40" i="11"/>
  <c r="M43" i="11"/>
  <c r="M41" i="11"/>
  <c r="M44" i="11"/>
  <c r="M45" i="11"/>
  <c r="M18" i="11"/>
  <c r="M42" i="11"/>
  <c r="M46" i="11"/>
  <c r="M27" i="11"/>
  <c r="M21" i="11"/>
  <c r="M52" i="11"/>
  <c r="M50" i="11"/>
  <c r="M48" i="11"/>
  <c r="M49" i="11"/>
  <c r="M51" i="11"/>
  <c r="M47" i="11"/>
  <c r="M11" i="11"/>
  <c r="M17" i="11"/>
  <c r="L17" i="11"/>
  <c r="M13" i="11"/>
  <c r="M14" i="11"/>
  <c r="M15" i="11"/>
  <c r="M16" i="11"/>
  <c r="K73" i="11"/>
  <c r="I73" i="11"/>
  <c r="T7" i="11"/>
  <c r="T9" i="11"/>
  <c r="J10" i="11"/>
  <c r="L4" i="11"/>
  <c r="J4" i="11"/>
  <c r="L63" i="11"/>
  <c r="J63" i="11"/>
  <c r="L8" i="11"/>
  <c r="J8" i="11"/>
  <c r="T6" i="11"/>
  <c r="L61" i="11"/>
  <c r="J61" i="11"/>
  <c r="T19" i="11"/>
  <c r="J19" i="11"/>
  <c r="F19" i="11"/>
  <c r="L60" i="11"/>
  <c r="J60" i="11"/>
  <c r="L59" i="11"/>
  <c r="J59" i="11"/>
  <c r="L19" i="11" l="1"/>
  <c r="J5" i="11"/>
  <c r="M5" i="11"/>
  <c r="AG14" i="8"/>
  <c r="M19" i="11"/>
  <c r="L54" i="11"/>
  <c r="J54" i="11"/>
  <c r="L56" i="11"/>
  <c r="J56" i="11"/>
  <c r="L11" i="11"/>
  <c r="J11" i="11"/>
  <c r="L47" i="11"/>
  <c r="J47" i="11"/>
  <c r="L51" i="11"/>
  <c r="J51" i="11"/>
  <c r="J49" i="11"/>
  <c r="L50" i="11"/>
  <c r="J50" i="11"/>
  <c r="M73" i="11" l="1"/>
  <c r="J73" i="11"/>
  <c r="L73" i="11"/>
  <c r="L52" i="11"/>
  <c r="J52" i="11"/>
  <c r="L21" i="11"/>
  <c r="J21" i="11"/>
  <c r="T27" i="11"/>
  <c r="L27" i="11"/>
  <c r="T46" i="11"/>
  <c r="L46" i="11"/>
  <c r="T42" i="11"/>
  <c r="L42" i="11"/>
  <c r="T18" i="11"/>
  <c r="L18" i="11"/>
  <c r="J18" i="11"/>
  <c r="Z45" i="11"/>
  <c r="X45" i="11"/>
  <c r="T45" i="11"/>
  <c r="L45" i="11"/>
  <c r="J45" i="11"/>
  <c r="Z44" i="11"/>
  <c r="X44" i="11"/>
  <c r="T44" i="11"/>
  <c r="J44" i="11"/>
  <c r="T41" i="11"/>
  <c r="J41" i="11"/>
  <c r="Q20" i="11"/>
  <c r="T20" i="11" s="1"/>
  <c r="L20" i="11"/>
  <c r="G20" i="11"/>
  <c r="Z43" i="11"/>
  <c r="X43" i="11"/>
  <c r="T43" i="11"/>
  <c r="L43" i="11"/>
  <c r="J43" i="11"/>
  <c r="Z40" i="11"/>
  <c r="X40" i="11"/>
  <c r="T40" i="11"/>
  <c r="L40" i="11"/>
  <c r="J40" i="11"/>
  <c r="L37" i="11"/>
  <c r="J37" i="11"/>
  <c r="Z39" i="11"/>
  <c r="L39" i="11"/>
  <c r="L34" i="11"/>
  <c r="J34" i="11"/>
  <c r="G73" i="11" l="1"/>
  <c r="M20" i="11"/>
  <c r="J20" i="11"/>
  <c r="Z37" i="11"/>
  <c r="L33" i="11"/>
  <c r="J33" i="11"/>
  <c r="F36" i="11" l="1"/>
  <c r="F32" i="11"/>
  <c r="M32" i="11" s="1"/>
  <c r="F35" i="11"/>
  <c r="M35" i="11" s="1"/>
  <c r="Z27" i="11"/>
  <c r="X27" i="11"/>
  <c r="L22" i="11"/>
  <c r="J22" i="11"/>
  <c r="X26" i="11"/>
  <c r="T26" i="11"/>
  <c r="J26" i="11"/>
  <c r="L35" i="11" l="1"/>
  <c r="Z34" i="11"/>
  <c r="Z35" i="11"/>
  <c r="L32" i="11"/>
  <c r="M36" i="11"/>
  <c r="Z36" i="11"/>
  <c r="L36" i="11"/>
  <c r="F26" i="11"/>
  <c r="T25" i="11"/>
  <c r="F25" i="11"/>
  <c r="Z24" i="11"/>
  <c r="X24" i="11"/>
  <c r="L24" i="11"/>
  <c r="J24" i="11"/>
  <c r="Z23" i="11"/>
  <c r="X23" i="11"/>
  <c r="L23" i="11"/>
  <c r="J23" i="11"/>
  <c r="Z17" i="11"/>
  <c r="J17" i="11"/>
  <c r="F73" i="11" l="1"/>
  <c r="Z25" i="11"/>
  <c r="L25" i="11"/>
  <c r="M25" i="11"/>
  <c r="M26" i="11"/>
  <c r="Z26" i="11"/>
  <c r="L26" i="11"/>
  <c r="Z16" i="11"/>
  <c r="L16" i="11"/>
  <c r="J16" i="11"/>
  <c r="L15" i="11"/>
  <c r="J15" i="11"/>
  <c r="L14" i="11"/>
  <c r="J14" i="11"/>
  <c r="Z13" i="11"/>
  <c r="J13" i="11"/>
  <c r="AM10" i="8"/>
  <c r="U10" i="8" l="1"/>
  <c r="M10" i="8"/>
  <c r="AN9" i="8" s="1"/>
  <c r="AG8" i="8"/>
  <c r="AG7" i="8"/>
  <c r="AG6" i="8"/>
  <c r="AN6" i="8" s="1"/>
  <c r="AG5" i="8"/>
  <c r="AG4" i="8"/>
  <c r="AN4" i="8" s="1"/>
  <c r="V40" i="6"/>
  <c r="AM39" i="6"/>
  <c r="M39" i="6"/>
  <c r="AG38" i="6"/>
  <c r="U38" i="6"/>
  <c r="S38" i="6"/>
  <c r="AG37" i="6"/>
  <c r="AN37" i="6" l="1"/>
  <c r="AG10" i="8"/>
  <c r="AN7" i="8"/>
  <c r="AN38" i="6"/>
  <c r="AN5" i="8"/>
  <c r="AN8" i="8"/>
  <c r="W36" i="6"/>
  <c r="U36" i="6"/>
  <c r="U39" i="6" s="1"/>
  <c r="S36" i="6"/>
  <c r="AM35" i="6"/>
  <c r="U35" i="6"/>
  <c r="AG34" i="6"/>
  <c r="AG33" i="6"/>
  <c r="AG32" i="6"/>
  <c r="AG31" i="6"/>
  <c r="AG30" i="6"/>
  <c r="AG29" i="6"/>
  <c r="AG28" i="6"/>
  <c r="AG27" i="6"/>
  <c r="AG26" i="6"/>
  <c r="AG25" i="6"/>
  <c r="AG24" i="6"/>
  <c r="AG23" i="6"/>
  <c r="M23" i="6"/>
  <c r="M35" i="6" s="1"/>
  <c r="AG22" i="6"/>
  <c r="AG21" i="6"/>
  <c r="AM20" i="6"/>
  <c r="U20" i="6"/>
  <c r="M20" i="6"/>
  <c r="AG19" i="6"/>
  <c r="AG18" i="6"/>
  <c r="AG17" i="6"/>
  <c r="AG16" i="6"/>
  <c r="AG15" i="6"/>
  <c r="AG14" i="6"/>
  <c r="AN14" i="6" s="1"/>
  <c r="AG13" i="6"/>
  <c r="AG12" i="6"/>
  <c r="AG11" i="6"/>
  <c r="AG10" i="6"/>
  <c r="AG9" i="6"/>
  <c r="AN9" i="6" s="1"/>
  <c r="AM8" i="6"/>
  <c r="U8" i="6"/>
  <c r="M8" i="6"/>
  <c r="AG7" i="6"/>
  <c r="AG6" i="6"/>
  <c r="AG5" i="6"/>
  <c r="AG4" i="6"/>
  <c r="AN4" i="6" s="1"/>
  <c r="AG21" i="5"/>
  <c r="AG20" i="5"/>
  <c r="AG19" i="5"/>
  <c r="AG18" i="5"/>
  <c r="AG17" i="5"/>
  <c r="AG16" i="5"/>
  <c r="AG15" i="5"/>
  <c r="AG14" i="5"/>
  <c r="AG13" i="5"/>
  <c r="AG12" i="5"/>
  <c r="AG11" i="5"/>
  <c r="AG10" i="5"/>
  <c r="AG9" i="5"/>
  <c r="AG8" i="5"/>
  <c r="AG7" i="5"/>
  <c r="AN7" i="6" l="1"/>
  <c r="AN12" i="6"/>
  <c r="AN10" i="5"/>
  <c r="AG8" i="6"/>
  <c r="AG20" i="6"/>
  <c r="AN11" i="6"/>
  <c r="AN15" i="6"/>
  <c r="AG35" i="6"/>
  <c r="AN7" i="5"/>
  <c r="AN31" i="6"/>
  <c r="AN10" i="8"/>
  <c r="AN16" i="6"/>
  <c r="AN32" i="6"/>
  <c r="AN9" i="5"/>
  <c r="AN6" i="6"/>
  <c r="AN10" i="6"/>
  <c r="AN17" i="6"/>
  <c r="AN25" i="6"/>
  <c r="AN29" i="6"/>
  <c r="AN33" i="6"/>
  <c r="AN8" i="5"/>
  <c r="AN5" i="6"/>
  <c r="AN13" i="6"/>
  <c r="AN28" i="6"/>
  <c r="AN26" i="6"/>
  <c r="AN30" i="6"/>
  <c r="AG6" i="5"/>
  <c r="U6" i="5"/>
  <c r="S6" i="5"/>
  <c r="AG5" i="5"/>
  <c r="AN5" i="5" s="1"/>
  <c r="AG4" i="5"/>
  <c r="AM78" i="3"/>
  <c r="U78" i="3"/>
  <c r="S78" i="3"/>
  <c r="M78" i="3"/>
  <c r="AG77" i="3"/>
  <c r="AG76" i="3"/>
  <c r="AG75" i="3"/>
  <c r="AG74" i="3"/>
  <c r="AG73" i="3"/>
  <c r="AG72" i="3"/>
  <c r="AG71" i="3"/>
  <c r="AG70" i="3"/>
  <c r="AG69" i="3"/>
  <c r="AG68" i="3"/>
  <c r="AG67" i="3"/>
  <c r="AG66" i="3"/>
  <c r="AG65" i="3"/>
  <c r="AG64" i="3"/>
  <c r="AM63" i="3"/>
  <c r="U63" i="3"/>
  <c r="M63" i="3"/>
  <c r="AN62" i="3"/>
  <c r="AG61" i="3"/>
  <c r="AG60" i="3"/>
  <c r="AM59" i="3"/>
  <c r="U59" i="3"/>
  <c r="M59" i="3"/>
  <c r="AG58" i="3"/>
  <c r="AN58" i="3" s="1"/>
  <c r="AG57" i="3"/>
  <c r="AN57" i="3" s="1"/>
  <c r="AN66" i="3" l="1"/>
  <c r="AN70" i="3"/>
  <c r="AN74" i="3"/>
  <c r="AN8" i="6"/>
  <c r="AN20" i="6"/>
  <c r="AG59" i="3"/>
  <c r="AN65" i="3"/>
  <c r="AN69" i="3"/>
  <c r="AN73" i="3"/>
  <c r="AN77" i="3"/>
  <c r="AN6" i="5"/>
  <c r="AN63" i="3"/>
  <c r="AN59" i="3"/>
  <c r="AN64" i="3"/>
  <c r="AN71" i="3"/>
  <c r="AN35" i="6"/>
  <c r="AG63" i="3"/>
  <c r="AN68" i="3"/>
  <c r="AN72" i="3"/>
  <c r="AN76" i="3"/>
  <c r="AG78" i="3"/>
  <c r="AN67" i="3"/>
  <c r="AN75" i="3"/>
  <c r="AN4" i="5"/>
  <c r="AM56" i="3"/>
  <c r="M56" i="3"/>
  <c r="AG55" i="3"/>
  <c r="AN78" i="3" l="1"/>
  <c r="U55" i="3"/>
  <c r="AN55" i="3" s="1"/>
  <c r="S55" i="3"/>
  <c r="AG54" i="3"/>
  <c r="AG53" i="3"/>
  <c r="U53" i="3"/>
  <c r="S53" i="3"/>
  <c r="AG52" i="3"/>
  <c r="U52" i="3"/>
  <c r="S52" i="3"/>
  <c r="AG51" i="3"/>
  <c r="AN51" i="3" s="1"/>
  <c r="AN52" i="3" l="1"/>
  <c r="AN53" i="3"/>
  <c r="AN54" i="3"/>
  <c r="AG56" i="3"/>
  <c r="U56" i="3" s="1"/>
  <c r="M49" i="3"/>
  <c r="AN56" i="3" l="1"/>
  <c r="AG48" i="3"/>
  <c r="AG47" i="3"/>
  <c r="AG49" i="3" l="1"/>
  <c r="M46" i="3"/>
  <c r="AG45" i="3"/>
  <c r="AG44" i="3"/>
  <c r="AM43" i="3"/>
  <c r="U43" i="3"/>
  <c r="T43" i="3"/>
  <c r="S43" i="3"/>
  <c r="AG46" i="3" l="1"/>
  <c r="R43" i="3"/>
  <c r="M43" i="3"/>
  <c r="AG42" i="3"/>
  <c r="AG41" i="3"/>
  <c r="AG40" i="3"/>
  <c r="AN39" i="3"/>
  <c r="AG38" i="3"/>
  <c r="AG37" i="3"/>
  <c r="AG36" i="3"/>
  <c r="AN38" i="3" l="1"/>
  <c r="AN42" i="3"/>
  <c r="AN36" i="3"/>
  <c r="AN40" i="3"/>
  <c r="AN37" i="3"/>
  <c r="AN41" i="3"/>
  <c r="W35" i="3"/>
  <c r="AG34" i="3"/>
  <c r="AG33" i="3"/>
  <c r="AG32" i="3"/>
  <c r="W31" i="3"/>
  <c r="AN32" i="3" l="1"/>
  <c r="AN33" i="3"/>
  <c r="AN34" i="3"/>
  <c r="AG30" i="3"/>
  <c r="AN30" i="3" s="1"/>
  <c r="AM29" i="3"/>
  <c r="M29" i="3"/>
  <c r="AG28" i="3"/>
  <c r="AG27" i="3"/>
  <c r="AG26" i="3"/>
  <c r="AG25" i="3"/>
  <c r="AG24" i="3"/>
  <c r="AN27" i="3" l="1"/>
  <c r="AN24" i="3"/>
  <c r="AN28" i="3"/>
  <c r="AN25" i="3"/>
  <c r="AN26" i="3"/>
  <c r="AG23" i="3"/>
  <c r="U23" i="3"/>
  <c r="S23" i="3"/>
  <c r="AG22" i="3"/>
  <c r="W21" i="3"/>
  <c r="AG20" i="3"/>
  <c r="W19" i="3"/>
  <c r="AN23" i="3" l="1"/>
  <c r="AN22" i="3"/>
  <c r="AN20" i="3"/>
  <c r="Y18" i="3" l="1"/>
  <c r="X18" i="3"/>
  <c r="W18" i="3"/>
  <c r="S18" i="3"/>
  <c r="AM17" i="3"/>
  <c r="AG18" i="3" l="1"/>
  <c r="AN18" i="3" s="1"/>
  <c r="U17" i="3"/>
  <c r="M17" i="3"/>
  <c r="AG16" i="3"/>
  <c r="AG15" i="3"/>
  <c r="AG14" i="3"/>
  <c r="W13" i="3"/>
  <c r="AG12" i="3"/>
  <c r="AG11" i="3"/>
  <c r="AG10" i="3"/>
  <c r="AG9" i="3"/>
  <c r="AG8" i="3"/>
  <c r="AG7" i="3"/>
  <c r="AG6" i="3"/>
  <c r="W5" i="3"/>
  <c r="AG4" i="3"/>
  <c r="AN4" i="3" s="1"/>
  <c r="AN14" i="3" l="1"/>
  <c r="AN7" i="3"/>
  <c r="AN11" i="3"/>
  <c r="AN8" i="3"/>
  <c r="AN12" i="3"/>
  <c r="AN15" i="3"/>
  <c r="AN9" i="3"/>
  <c r="AG13" i="3"/>
  <c r="AN16" i="3"/>
  <c r="AN6" i="3"/>
  <c r="AN10" i="3"/>
  <c r="AN13" i="3"/>
  <c r="G23" i="4"/>
  <c r="AG17" i="4" l="1"/>
  <c r="AG16" i="4"/>
  <c r="AG15" i="4"/>
  <c r="AN16" i="4" l="1"/>
  <c r="AN17" i="4"/>
  <c r="AM14" i="4"/>
  <c r="M14" i="4" l="1"/>
  <c r="AG13" i="4"/>
  <c r="AG12" i="4"/>
  <c r="AN12" i="4" s="1"/>
  <c r="AG11" i="4"/>
  <c r="AG10" i="4"/>
  <c r="U10" i="4"/>
  <c r="U14" i="4" s="1"/>
  <c r="S10" i="4"/>
  <c r="U9" i="4"/>
  <c r="M9" i="4"/>
  <c r="AG8" i="4"/>
  <c r="AG7" i="4"/>
  <c r="AG6" i="4"/>
  <c r="S6" i="4"/>
  <c r="AG5" i="4"/>
  <c r="B138" i="2"/>
  <c r="F133" i="2"/>
  <c r="E133" i="2"/>
  <c r="B132" i="2"/>
  <c r="B120" i="2"/>
  <c r="F103" i="2"/>
  <c r="E103" i="2"/>
  <c r="B79" i="2"/>
  <c r="F60" i="2"/>
  <c r="E60" i="2"/>
  <c r="F51" i="2"/>
  <c r="F34" i="2"/>
  <c r="E34" i="2"/>
  <c r="B17" i="2"/>
  <c r="B18" i="2" s="1"/>
  <c r="F13" i="2"/>
  <c r="E13" i="2"/>
  <c r="B4" i="2"/>
  <c r="B5" i="2" s="1"/>
  <c r="AG14" i="4" l="1"/>
  <c r="AN14" i="4" s="1"/>
  <c r="AG9" i="4"/>
  <c r="AN10" i="4"/>
  <c r="AN5" i="4"/>
  <c r="AN11" i="4"/>
  <c r="AE14" i="4" l="1"/>
  <c r="AG114" i="1" l="1"/>
  <c r="AN114" i="1" l="1"/>
  <c r="AG113" i="1"/>
  <c r="AN113" i="1" s="1"/>
  <c r="AG112" i="1" l="1"/>
  <c r="AN112" i="1" s="1"/>
  <c r="AM111" i="1" l="1"/>
  <c r="U111" i="1" l="1"/>
  <c r="S111" i="1"/>
  <c r="M111" i="1"/>
  <c r="AG110" i="1" l="1"/>
  <c r="AN110" i="1" s="1"/>
  <c r="AG109" i="1"/>
  <c r="AG108" i="1"/>
  <c r="AN108" i="1" s="1"/>
  <c r="AG107" i="1" l="1"/>
  <c r="AN107" i="1" s="1"/>
  <c r="AG106" i="1" l="1"/>
  <c r="AN106" i="1" s="1"/>
  <c r="AG105" i="1"/>
  <c r="AN105" i="1" s="1"/>
  <c r="AG104" i="1" l="1"/>
  <c r="AN104" i="1" s="1"/>
  <c r="AG103" i="1"/>
  <c r="AN103" i="1" s="1"/>
  <c r="AG102" i="1"/>
  <c r="AG101" i="1"/>
  <c r="AN101" i="1" s="1"/>
  <c r="AG100" i="1"/>
  <c r="AN100" i="1" s="1"/>
  <c r="AG99" i="1" l="1"/>
  <c r="AN99" i="1" s="1"/>
  <c r="AG98" i="1"/>
  <c r="AN98" i="1" s="1"/>
  <c r="AG97" i="1" l="1"/>
  <c r="AN97" i="1" s="1"/>
  <c r="I97" i="1" l="1"/>
  <c r="I98" i="1" s="1"/>
  <c r="I99" i="1" s="1"/>
  <c r="I100" i="1" s="1"/>
  <c r="I101" i="1" s="1"/>
  <c r="I102" i="1" s="1"/>
  <c r="I103" i="1" s="1"/>
  <c r="I104" i="1" s="1"/>
  <c r="I105" i="1" s="1"/>
  <c r="I106" i="1" s="1"/>
  <c r="I107" i="1" s="1"/>
  <c r="I108" i="1" s="1"/>
  <c r="I109" i="1" s="1"/>
  <c r="I110" i="1" s="1"/>
  <c r="AN109" i="1" s="1"/>
  <c r="AG96" i="1"/>
  <c r="AG111" i="1" s="1"/>
  <c r="AN96" i="1" l="1"/>
  <c r="AN111" i="1" s="1"/>
  <c r="U95" i="1"/>
  <c r="S95" i="1"/>
  <c r="M95" i="1"/>
  <c r="AG94" i="1"/>
  <c r="I94" i="1"/>
  <c r="AG93" i="1"/>
  <c r="AN93" i="1" s="1"/>
  <c r="AN94" i="1" l="1"/>
  <c r="AG92" i="1"/>
  <c r="AN92" i="1" s="1"/>
  <c r="AG91" i="1"/>
  <c r="AG90" i="1"/>
  <c r="AG89" i="1"/>
  <c r="AG88" i="1" l="1"/>
  <c r="AN88" i="1" s="1"/>
  <c r="AG87" i="1"/>
  <c r="AG86" i="1"/>
  <c r="AN86" i="1" s="1"/>
  <c r="AG85" i="1" l="1"/>
  <c r="AN85" i="1" s="1"/>
  <c r="AG84" i="1"/>
  <c r="AN84" i="1" s="1"/>
  <c r="AG83" i="1" l="1"/>
  <c r="AG82" i="1" l="1"/>
  <c r="I82" i="1"/>
  <c r="I83" i="1" s="1"/>
  <c r="AG81" i="1"/>
  <c r="AG80" i="1"/>
  <c r="AN80" i="1" s="1"/>
  <c r="U79" i="1"/>
  <c r="S79" i="1"/>
  <c r="M79" i="1"/>
  <c r="AG78" i="1"/>
  <c r="AG77" i="1"/>
  <c r="AG76" i="1"/>
  <c r="AN76" i="1" s="1"/>
  <c r="AG95" i="1" l="1"/>
  <c r="AG79" i="1"/>
  <c r="AN82" i="1"/>
  <c r="I84" i="1"/>
  <c r="I85" i="1" s="1"/>
  <c r="I86" i="1" s="1"/>
  <c r="I87" i="1" s="1"/>
  <c r="I88" i="1" s="1"/>
  <c r="AN81" i="1"/>
  <c r="U75" i="1"/>
  <c r="AG74" i="1"/>
  <c r="AG73" i="1"/>
  <c r="AN87" i="1" l="1"/>
  <c r="I89" i="1"/>
  <c r="I90" i="1" s="1"/>
  <c r="I91" i="1" s="1"/>
  <c r="I92" i="1" s="1"/>
  <c r="AN74" i="1"/>
  <c r="AG72" i="1"/>
  <c r="AN72" i="1" s="1"/>
  <c r="AG71" i="1"/>
  <c r="AN71" i="1" s="1"/>
  <c r="AG70" i="1" l="1"/>
  <c r="AN70" i="1" s="1"/>
  <c r="AG69" i="1"/>
  <c r="AN69" i="1" s="1"/>
  <c r="AG68" i="1" l="1"/>
  <c r="AN68" i="1" s="1"/>
  <c r="AG67" i="1"/>
  <c r="AN67" i="1" s="1"/>
  <c r="AG66" i="1" l="1"/>
  <c r="AN66" i="1" s="1"/>
  <c r="AG65" i="1"/>
  <c r="AN65" i="1" s="1"/>
  <c r="AG64" i="1" l="1"/>
  <c r="AN64" i="1" s="1"/>
  <c r="AD63" i="1"/>
  <c r="AC63" i="1"/>
  <c r="AB63" i="1"/>
  <c r="AA63" i="1"/>
  <c r="Z63" i="1"/>
  <c r="Y63" i="1"/>
  <c r="X63" i="1"/>
  <c r="W63" i="1"/>
  <c r="M63" i="1"/>
  <c r="AG63" i="1" l="1"/>
  <c r="AG62" i="1"/>
  <c r="AN62" i="1" s="1"/>
  <c r="AG61" i="1"/>
  <c r="AN61" i="1" s="1"/>
  <c r="AG60" i="1" l="1"/>
  <c r="AG59" i="1"/>
  <c r="S59" i="1"/>
  <c r="M59" i="1"/>
  <c r="AN60" i="1" l="1"/>
  <c r="AG58" i="1"/>
  <c r="M58" i="1"/>
  <c r="AG57" i="1"/>
  <c r="M57" i="1"/>
  <c r="AE56" i="1"/>
  <c r="AD56" i="1"/>
  <c r="X56" i="1"/>
  <c r="M56" i="1"/>
  <c r="AC55" i="1"/>
  <c r="S55" i="1"/>
  <c r="S75" i="1" s="1"/>
  <c r="M55" i="1"/>
  <c r="AG54" i="1"/>
  <c r="AN54" i="1" s="1"/>
  <c r="AG56" i="1" l="1"/>
  <c r="AN57" i="1"/>
  <c r="AN58" i="1"/>
  <c r="AE53" i="1"/>
  <c r="AD53" i="1"/>
  <c r="Z53" i="1"/>
  <c r="Y53" i="1"/>
  <c r="X53" i="1"/>
  <c r="M53" i="1"/>
  <c r="AF52" i="1"/>
  <c r="AE52" i="1"/>
  <c r="AD52" i="1"/>
  <c r="AC52" i="1"/>
  <c r="AB52" i="1"/>
  <c r="AA52" i="1"/>
  <c r="Z52" i="1"/>
  <c r="Y52" i="1"/>
  <c r="X52" i="1"/>
  <c r="W52" i="1"/>
  <c r="M52" i="1"/>
  <c r="AG51" i="1"/>
  <c r="I51" i="1"/>
  <c r="I52" i="1" s="1"/>
  <c r="AG50" i="1"/>
  <c r="AG49" i="1"/>
  <c r="AG48" i="1"/>
  <c r="AG47" i="1"/>
  <c r="AG46" i="1"/>
  <c r="AG45" i="1"/>
  <c r="AM44" i="1"/>
  <c r="U44" i="1"/>
  <c r="S44" i="1"/>
  <c r="M44" i="1"/>
  <c r="AG43" i="1"/>
  <c r="AG42" i="1"/>
  <c r="AN42" i="1" s="1"/>
  <c r="M75" i="1" l="1"/>
  <c r="AG53" i="1"/>
  <c r="AN53" i="1" s="1"/>
  <c r="AG52" i="1"/>
  <c r="AN51" i="1"/>
  <c r="I53" i="1"/>
  <c r="AG44" i="1"/>
  <c r="AN43" i="1"/>
  <c r="AN44" i="1" s="1"/>
  <c r="AN50" i="1"/>
  <c r="AG41" i="1"/>
  <c r="AN52" i="1" l="1"/>
  <c r="I54" i="1"/>
  <c r="I55" i="1" s="1"/>
  <c r="I56" i="1" s="1"/>
  <c r="I57" i="1" s="1"/>
  <c r="AN41" i="1"/>
  <c r="U40" i="1"/>
  <c r="T40" i="1"/>
  <c r="S40" i="1"/>
  <c r="M40" i="1"/>
  <c r="AG39" i="1"/>
  <c r="AN39" i="1" s="1"/>
  <c r="AG38" i="1"/>
  <c r="AM37" i="1"/>
  <c r="U37" i="1"/>
  <c r="S37" i="1"/>
  <c r="M37" i="1"/>
  <c r="AG36" i="1"/>
  <c r="AG35" i="1"/>
  <c r="AG34" i="1"/>
  <c r="AN34" i="1" s="1"/>
  <c r="AG37" i="1" l="1"/>
  <c r="AN35" i="1"/>
  <c r="AN56" i="1"/>
  <c r="I58" i="1"/>
  <c r="I59" i="1" s="1"/>
  <c r="I60" i="1" s="1"/>
  <c r="AN36" i="1"/>
  <c r="AG40" i="1"/>
  <c r="AN38" i="1"/>
  <c r="AN40" i="1" s="1"/>
  <c r="AG33" i="1"/>
  <c r="AN33" i="1" s="1"/>
  <c r="AM32" i="1"/>
  <c r="AN37" i="1" l="1"/>
  <c r="AN59" i="1"/>
  <c r="I61" i="1"/>
  <c r="I62" i="1" s="1"/>
  <c r="I63" i="1" s="1"/>
  <c r="I64" i="1" s="1"/>
  <c r="U32" i="1"/>
  <c r="S32" i="1"/>
  <c r="M32" i="1"/>
  <c r="AG31" i="1"/>
  <c r="AG30" i="1"/>
  <c r="AN63" i="1" l="1"/>
  <c r="I65" i="1"/>
  <c r="I66" i="1" s="1"/>
  <c r="I67" i="1" s="1"/>
  <c r="I68" i="1" s="1"/>
  <c r="I69" i="1" s="1"/>
  <c r="I70" i="1" s="1"/>
  <c r="I71" i="1" s="1"/>
  <c r="I72" i="1" s="1"/>
  <c r="I73" i="1" s="1"/>
  <c r="I74" i="1" s="1"/>
  <c r="AN73" i="1" s="1"/>
  <c r="AG29" i="1"/>
  <c r="AN29" i="1" s="1"/>
  <c r="AG28" i="1"/>
  <c r="AN28" i="1" s="1"/>
  <c r="AG27" i="1"/>
  <c r="AN27" i="1" s="1"/>
  <c r="AG26" i="1" l="1"/>
  <c r="AN26" i="1" s="1"/>
  <c r="AG25" i="1"/>
  <c r="AN25" i="1" s="1"/>
  <c r="AG24" i="1" l="1"/>
  <c r="AN24" i="1" s="1"/>
  <c r="AG23" i="1"/>
  <c r="AN23" i="1" s="1"/>
  <c r="AG22" i="1" l="1"/>
  <c r="AN22" i="1" s="1"/>
  <c r="AG21" i="1"/>
  <c r="AN21" i="1" s="1"/>
  <c r="AG20" i="1" l="1"/>
  <c r="AN20" i="1" s="1"/>
  <c r="AG19" i="1"/>
  <c r="AN19" i="1" s="1"/>
  <c r="AG18" i="1"/>
  <c r="AN18" i="1" s="1"/>
  <c r="AG17" i="1"/>
  <c r="AG16" i="1"/>
  <c r="AG15" i="1"/>
  <c r="I15" i="1"/>
  <c r="AG14" i="1"/>
  <c r="AN13" i="1"/>
  <c r="AM13" i="1"/>
  <c r="I16" i="1" l="1"/>
  <c r="AN15" i="1" s="1"/>
  <c r="AG32" i="1"/>
  <c r="AN16" i="1"/>
  <c r="AN17" i="1"/>
  <c r="S13" i="1"/>
  <c r="M13" i="1"/>
  <c r="AG12" i="1"/>
  <c r="AG11" i="1"/>
  <c r="AG10" i="1"/>
  <c r="U10" i="1"/>
  <c r="AG9" i="1"/>
  <c r="AG8" i="1"/>
  <c r="AG7" i="1"/>
  <c r="AG6" i="1"/>
  <c r="AG5" i="1"/>
  <c r="AG4" i="1"/>
  <c r="I4" i="1"/>
  <c r="AG3" i="1"/>
  <c r="AG13" i="1" l="1"/>
  <c r="I5" i="1"/>
  <c r="I6" i="1" s="1"/>
  <c r="I7" i="1" s="1"/>
  <c r="I8" i="1" s="1"/>
  <c r="I9" i="1" s="1"/>
  <c r="I10" i="1" s="1"/>
  <c r="I11" i="1" s="1"/>
  <c r="I12" i="1" s="1"/>
  <c r="U13" i="1"/>
  <c r="AN32" i="1"/>
  <c r="I17" i="1"/>
  <c r="I18" i="1" s="1"/>
  <c r="I19" i="1" s="1"/>
  <c r="I20" i="1" s="1"/>
  <c r="I21" i="1" s="1"/>
  <c r="I22" i="1" s="1"/>
  <c r="I23" i="1" s="1"/>
  <c r="I24" i="1" s="1"/>
  <c r="I25" i="1" s="1"/>
  <c r="I26" i="1" s="1"/>
  <c r="I27" i="1" s="1"/>
  <c r="I28" i="1" s="1"/>
  <c r="I29" i="1" s="1"/>
  <c r="I30" i="1" s="1"/>
  <c r="I31" i="1" s="1"/>
  <c r="AG55" i="1" l="1"/>
  <c r="AG75" i="1" s="1"/>
  <c r="B121" i="2"/>
  <c r="B122" i="2" s="1"/>
  <c r="B123" i="2" s="1"/>
  <c r="B124" i="2" s="1"/>
  <c r="B125" i="2" s="1"/>
  <c r="B126" i="2" s="1"/>
  <c r="B127" i="2" s="1"/>
  <c r="B128" i="2" s="1"/>
  <c r="B129" i="2" s="1"/>
  <c r="B130" i="2" s="1"/>
  <c r="B19" i="2"/>
  <c r="B20" i="2" s="1"/>
  <c r="B21" i="2" s="1"/>
  <c r="B22" i="2" s="1"/>
  <c r="B23" i="2" s="1"/>
  <c r="B24" i="2" s="1"/>
  <c r="B25" i="2" s="1"/>
  <c r="B26" i="2" s="1"/>
  <c r="B27" i="2" s="1"/>
  <c r="B28" i="2" s="1"/>
  <c r="B29" i="2" s="1"/>
  <c r="B30" i="2" s="1"/>
  <c r="B31" i="2" s="1"/>
  <c r="B32" i="2" s="1"/>
  <c r="B33" i="2" s="1"/>
  <c r="B80" i="2"/>
  <c r="B81" i="2" s="1"/>
  <c r="B82" i="2" s="1"/>
  <c r="B83" i="2" s="1"/>
  <c r="B84" i="2" s="1"/>
  <c r="B85" i="2" s="1"/>
  <c r="B86" i="2" s="1"/>
  <c r="B87" i="2" s="1"/>
  <c r="B88" i="2" s="1"/>
  <c r="B89" i="2" s="1"/>
  <c r="B90" i="2" s="1"/>
  <c r="B91" i="2" s="1"/>
  <c r="B92" i="2" s="1"/>
  <c r="B93" i="2" s="1"/>
  <c r="B94" i="2" s="1"/>
  <c r="B95" i="2" s="1"/>
  <c r="B96" i="2" s="1"/>
  <c r="B97" i="2" s="1"/>
  <c r="B98" i="2" s="1"/>
  <c r="B99" i="2" s="1"/>
  <c r="B100" i="2" s="1"/>
  <c r="B101" i="2" s="1"/>
  <c r="B102" i="2" s="1"/>
  <c r="B139" i="2"/>
  <c r="B140" i="2" s="1"/>
  <c r="B141" i="2" s="1"/>
  <c r="B142" i="2" s="1"/>
  <c r="B143" i="2" s="1"/>
  <c r="B144" i="2" s="1"/>
  <c r="B145" i="2" s="1"/>
  <c r="B146" i="2" s="1"/>
  <c r="B147" i="2" s="1"/>
  <c r="B148" i="2" s="1"/>
  <c r="B149" i="2" s="1"/>
  <c r="B150" i="2" s="1"/>
  <c r="B151" i="2" s="1"/>
  <c r="B6" i="2"/>
  <c r="B7" i="2"/>
  <c r="B8" i="2" s="1"/>
  <c r="B9" i="2" s="1"/>
  <c r="B10" i="2" s="1"/>
  <c r="B11" i="2" s="1"/>
  <c r="B12" i="2" s="1"/>
  <c r="AG19" i="3"/>
  <c r="AN19" i="3" s="1"/>
  <c r="AG21" i="3"/>
  <c r="AN21" i="3" s="1"/>
  <c r="AG5" i="3"/>
  <c r="AN5" i="3" s="1"/>
  <c r="AN17" i="3" s="1"/>
  <c r="U29" i="3"/>
  <c r="AG31" i="3"/>
  <c r="AN31" i="3" s="1"/>
  <c r="AG35" i="3"/>
  <c r="AN35" i="3" s="1"/>
  <c r="AG40" i="6"/>
  <c r="AN40" i="6" s="1"/>
  <c r="AG36" i="6"/>
  <c r="AN36" i="6" s="1"/>
  <c r="AN39" i="6" s="1"/>
  <c r="AG43" i="3" l="1"/>
  <c r="AD43" i="3" s="1"/>
  <c r="AN43" i="3"/>
  <c r="AG17" i="3"/>
  <c r="AN29" i="3"/>
  <c r="AG39" i="6"/>
  <c r="AG29" i="3"/>
  <c r="AN55" i="1"/>
</calcChain>
</file>

<file path=xl/sharedStrings.xml><?xml version="1.0" encoding="utf-8"?>
<sst xmlns="http://schemas.openxmlformats.org/spreadsheetml/2006/main" count="4907" uniqueCount="1896">
  <si>
    <t>EJE ESTRATEGICO</t>
  </si>
  <si>
    <t>VIGENCIA</t>
  </si>
  <si>
    <t>PROGRAMA</t>
  </si>
  <si>
    <t>NOMBRE DEL PROYECTO</t>
  </si>
  <si>
    <t>VR. PROYECTO</t>
  </si>
  <si>
    <t>REGISTRO SSEPI - CODIGO DE RADICACION</t>
  </si>
  <si>
    <t>COMPONENTE</t>
  </si>
  <si>
    <t>NUMERO</t>
  </si>
  <si>
    <t>CONTRATISTA</t>
  </si>
  <si>
    <t>OBJETO DEL CONTRATO</t>
  </si>
  <si>
    <t>DURACION</t>
  </si>
  <si>
    <t>VALOR</t>
  </si>
  <si>
    <t>FECHA DE INICIO</t>
  </si>
  <si>
    <t>FECHA VENCIMIENTO INICIAL</t>
  </si>
  <si>
    <t xml:space="preserve">FECHA TERMINACION </t>
  </si>
  <si>
    <t>CDP</t>
  </si>
  <si>
    <t>RP</t>
  </si>
  <si>
    <t>PAGO 1</t>
  </si>
  <si>
    <t>PAGO 2</t>
  </si>
  <si>
    <t>TOTAL PAGADO</t>
  </si>
  <si>
    <t>ESTADO</t>
  </si>
  <si>
    <t>INTERVENTOR</t>
  </si>
  <si>
    <t>OBSERVACIONES</t>
  </si>
  <si>
    <t>PRODUCTO PROGRAMADO</t>
  </si>
  <si>
    <t>PRODUCTO ENTREGADO</t>
  </si>
  <si>
    <t>JUAN CARLOS VALENCIA CARVAJAL</t>
  </si>
  <si>
    <t>2 meses</t>
  </si>
  <si>
    <t xml:space="preserve">2134
06/06/2013
</t>
  </si>
  <si>
    <t>VALOR CDP</t>
  </si>
  <si>
    <t>5004
08/08/2013</t>
  </si>
  <si>
    <t>YEDILVER SANCHEZ</t>
  </si>
  <si>
    <t>Selección Abreviada
DC-SI-SAMC-009-2013</t>
  </si>
  <si>
    <t>%
 FINANCIERO</t>
  </si>
  <si>
    <t>%
 FISICO</t>
  </si>
  <si>
    <t>687
08/08/2013</t>
  </si>
  <si>
    <t>682
08/08/2013</t>
  </si>
  <si>
    <t>LUZ STELLA QUINTANA SARRIA</t>
  </si>
  <si>
    <t>REHABILITACION DE LA VIA TERCIARIA SUCRE- CASCADAS MUNICIPIO DE SUCRE DEPARTAMENTO DEL CAUCA</t>
  </si>
  <si>
    <t>REHABILITACION DE LA VIA TERCIARIA PANAMERICANA VERSALLES, MUNICIPIO DE PATIA CAUCA</t>
  </si>
  <si>
    <t>2133
06/06/2013</t>
  </si>
  <si>
    <t>Selección Abreviada
DC-SI-SAMC-010-2013</t>
  </si>
  <si>
    <t>HOLLMAN LARRY</t>
  </si>
  <si>
    <t>RENE ARMANDO MARTINEZ DORADO</t>
  </si>
  <si>
    <t>JOSE FERNANADO CASTILLO CAÑADA</t>
  </si>
  <si>
    <t>GILBERTO ANTONIO MACCA CHAMORRO</t>
  </si>
  <si>
    <t>FERNANDO LOPEZ ROJAS</t>
  </si>
  <si>
    <t>HOLLMAN SAMBONI ADRADA</t>
  </si>
  <si>
    <t>PEDRO RODRIGO CUELLAR</t>
  </si>
  <si>
    <t>769
28/08/2013</t>
  </si>
  <si>
    <t>770
28/08/2013</t>
  </si>
  <si>
    <t>774
28/08/2013</t>
  </si>
  <si>
    <t>833
00/09/2013</t>
  </si>
  <si>
    <t>844
12/09/2013</t>
  </si>
  <si>
    <t>1060
31/10/2013</t>
  </si>
  <si>
    <t>1064
31/10/2013</t>
  </si>
  <si>
    <t>REHABILITACION DE LAS VIAS TERCIARIAS CRUCERO- LA CALERA, SAN FRANCISCO- ULLUCOS- EL NARANJO Y LA PILA EL BERLIN, MUNICIPIO DE TORIBIO DEPARTAMENTO DEL CAUCA</t>
  </si>
  <si>
    <t>REHABILITACION DE LA VIA TERCIARIA USENDA- VALLENUEVO MUNICIPIO DE SILVIA MUNICIPIO DEL CAUCA</t>
  </si>
  <si>
    <t>REHABILITACION DE LA VIA TERCIARIA EL TAMBO- LA CUCHILLA- EL OBELISCO MUNICIPIO DE EL TAMBO DEPARTAMENTO DEL CAUCA</t>
  </si>
  <si>
    <t>INTERVENTORIA TECNICA, ADMINISTRATIVA, FINAANCIERA, JURIDICA Y CONTABLE A LOS CONTRATOS DE OBRA PUBLICA DERIVADOS DEL PROYECTO "REHABILITACION DE VIAS TERCIARIAS EN DIFERENTES MUNICIPIOS: PATIA, TORIBIO, JAMBALO, ROSAS, CALOTO, CALDONO, SILVIA, L SIERRA, EL TAMBO, SUCRE - DEPARTAMENTO DEL CAUCA</t>
  </si>
  <si>
    <t>REHABILITACION DE LA VIA TERCIARIA EL TABLON- NUEVA COLONIA DEL MUNICIPIO JAMBALO Y CRUCERO PESCADOR CAMPIÑA PALERMO- SOCORRO Y CAMINITO, MUNICIPIO DE CALDONO DEPARTAMENTO DEL CAUCA</t>
  </si>
  <si>
    <t>REHABILITACION DE LA VIA TERCIARIA HUELLA- NAPOLES MUNICIPIO DE CALOTO CAUCA</t>
  </si>
  <si>
    <t>REHABILITACION DE LA VIA TERCIARIA LA CUCHILLA- EL OSO- PROVIDENCIA- SAN ANDRES- MUNICIPIO DE LA SIERRA CAUCA</t>
  </si>
  <si>
    <t>REHABILITACION DE VIAS TERCIARIAS EN DIFERENTES MUNICIPIOS: PATIA, TORIBIO, JAMBALO, ROSAS, CALOTO, SILVIA, LA SIERRA, EL TAMBO Y SUCRE CAUCA OCCIDENTE</t>
  </si>
  <si>
    <t>3 meses</t>
  </si>
  <si>
    <t>45 dias</t>
  </si>
  <si>
    <t>2143
06/06/2013</t>
  </si>
  <si>
    <t>2145
06/06/2013</t>
  </si>
  <si>
    <t>2138
06/06/2013</t>
  </si>
  <si>
    <t>2144
06/06/2013</t>
  </si>
  <si>
    <t>5573
28/08/2013</t>
  </si>
  <si>
    <t>7551
31/10/2013</t>
  </si>
  <si>
    <t>Selección Abreviada
DC-SI-SAMC-014-2013</t>
  </si>
  <si>
    <t>Selección Abreviada
DC-SI-SAMC-018-2013</t>
  </si>
  <si>
    <t>Selección Abreviada
DC-SI-SAMC-019-2013</t>
  </si>
  <si>
    <t>Concurso de meritos
DC-SI-CMA-PTS-009-2013</t>
  </si>
  <si>
    <t>Selección Abreviada
DC-SI-SAMC-020-2013</t>
  </si>
  <si>
    <t>Selección Abreviada
DC-SI-SAMC-033-2013</t>
  </si>
  <si>
    <t>Selección Abreviada
DC-SI-SAMC-032-2013</t>
  </si>
  <si>
    <t>MANTENIMIENTO Y MEJORAMIENTO DE 11 VIAS SECUNDARIAS EN LOS MUNICIPIOS DE BOLIVAR, ALMAGUER, EL TAMBO, PATIA, FLORENCIA, MERCADERES, TIMBIO, ARGELIA, CAUCA OCCIDENTE</t>
  </si>
  <si>
    <t>PLAN DE DESARROLLO</t>
  </si>
  <si>
    <t>PROYECTO</t>
  </si>
  <si>
    <t>CONTRATO</t>
  </si>
  <si>
    <t>MANTENIMIENTO Y MEJORAMENTO DE LA VIA 25CC26 VILLA RICA-CALOTO-DEPARTAMENTO DEL CAUCA</t>
  </si>
  <si>
    <t>MANTENIMIENTO Y MEJORAMIENTO DE LA VIA HIGUERONES-FLORENCIA-ESMERALDAS-LOS ALPES DEPARTAMENTO DEL CAUCA</t>
  </si>
  <si>
    <t>MANTENIMIENTO Y MEJORAMIENTO DE LA VIA CRUCERO CHIRIBIO- PIEDRA LEON EL TREBOL (CREUCE RUTA 2002) DEPARTAMENTO DEL CAUCA</t>
  </si>
  <si>
    <t>MANTENIMIENTO Y MEJORAMIENTO DE LA VIA 25CC12 CRUCERO EL LLANO - LOS ROBLES- RIO BLANCO- PARAMO DE BARBILLAS- PANCITAR- LA ZANJA (CRUCE RUTA 25CC25) DEPARTAMENTO DEL CAUCA</t>
  </si>
  <si>
    <t>MANTENIMIENTO Y MEJORAMIENTO DE LA VIA 25ACC02 (Cro. Ruta 2501A) MATACEA DEPARTAMENTO DEL CAUCA</t>
  </si>
  <si>
    <t>AUNAR ESFUERZOS ENTRE EL DEPARTAMENTO DEL CAUCA Y EL MUNICIPIO DE ALMAGUER CON EL FIN DE EJECUTAR EL MANTENIMIENTO Y EL MEJORAMIENTO DE LA VIA 25CC01  PALMITAS LERMA ALMAGUER (CRUCE RUTA 12CC05)SECTOR RIO BLANCO K27 ALMAGUER DEPARTAMENTO DEL CAUCA</t>
  </si>
  <si>
    <t>MANTENIMIENTO Y MEJORAMIENTO DE LA VIA 25CC19 EL MANGO PESCADOR DEPARTAMENTO DEL CAUCA</t>
  </si>
  <si>
    <t>MANTENIMIENTO Y MEJORAMIENTO DE LA VIA 25CC24 SANTANDER DE QUILICHAO-LA BALSA-TIMBA-DEPARTAMENTO DEL CAUCA</t>
  </si>
  <si>
    <t>860
13/09/2013</t>
  </si>
  <si>
    <t>878
2013</t>
  </si>
  <si>
    <t>858
13/09/2013</t>
  </si>
  <si>
    <t>874
2013</t>
  </si>
  <si>
    <t xml:space="preserve">
Interventor
CONSORCIO S&amp;Q INGENIERIA
Representante
GUIOVANNY SERNA RIVAS</t>
  </si>
  <si>
    <t>Interventor
JAIR LOPEZ ROJAS</t>
  </si>
  <si>
    <t>857
13/09/2013</t>
  </si>
  <si>
    <t>873
2013</t>
  </si>
  <si>
    <t>Interventoria Contratada
OLGA LUCIA DAVID HERNANDEZ</t>
  </si>
  <si>
    <t>869
17/09/2013</t>
  </si>
  <si>
    <t>855
13/09/2013</t>
  </si>
  <si>
    <t>Interventoria Contratada
JAIR LOPEZ ROJAS</t>
  </si>
  <si>
    <t>854
13/09/2013</t>
  </si>
  <si>
    <t>1067
01/11/2013</t>
  </si>
  <si>
    <t>1032
2013</t>
  </si>
  <si>
    <t>Interventoria
Contratada
OLGA LUCIA DAVID HERNANDEZ</t>
  </si>
  <si>
    <t>823
09/09/2013</t>
  </si>
  <si>
    <t>JULIAN MUÑOZ I
Memorando Nro. 137-2013</t>
  </si>
  <si>
    <t>INTERVENTORIA TECNICA, ADMINISTRATIVA, FINANCIERA, JURIDICA Y CONTABLE A LOS CONTRATOS DE OBRA PUBLICA DERIVADOS DEL PROYECTO "MANTENIMIENTO Y MEJORAMIENTO DE LA VIA 25ACC03 EL ESTRECHO,- BALBOA- ARGELIA- PLATEADO- EL PINCHE</t>
  </si>
  <si>
    <t>OSCAR IVAN MARTINEZ 
Memorando 168-2013</t>
  </si>
  <si>
    <t>1033
25/10/2013</t>
  </si>
  <si>
    <t>859
13/09/2013</t>
  </si>
  <si>
    <t>879
2013</t>
  </si>
  <si>
    <t>MARCO JAVIER GAVIRIA</t>
  </si>
  <si>
    <t>CONSORCIO VIAL FLORENCIA
Representante
JHON HAIBER MAZO LOPEZ</t>
  </si>
  <si>
    <t>JULIAN GONZALEZ CASAS</t>
  </si>
  <si>
    <t>CONSORCIO VIAL 2013
Representante Legal
EDGAR FELIPE BONILLA ORDOÑEZ</t>
  </si>
  <si>
    <t>Interventoria Contratada
CONSORCIO BD
Representante
ANDRES FERNANDO DUQUE S</t>
  </si>
  <si>
    <t>877
2013</t>
  </si>
  <si>
    <t>HUGO BETANCOUR ALVAREZ</t>
  </si>
  <si>
    <t>CONVENIO INTERADMINISTRATIVO DE ASOCIACION MUNICIPIO DE ALMAGUER
ALCALDE: FRANCO NELSON HOYOS</t>
  </si>
  <si>
    <t>OLGA LUCIA DAVID HERNANDEZ</t>
  </si>
  <si>
    <t>SIXTA XIMENA MELENDEZ MUÑOZ</t>
  </si>
  <si>
    <t>Interventor
CONSORCIO S&amp;Q 
INGENIERIA
GIOVANNY SERNA RIVAS</t>
  </si>
  <si>
    <t>MANTENIMIENTO Y MEJORAMIENTO DE LA VIA 25CC13 PUENTE LOS ROBLES (CRUCE RUTA 2503) LA CABAÑA EL HATO DEPARTAMENTO DEL CAUCA</t>
  </si>
  <si>
    <t>SECRETARIA DE INFRAESTRUCTURA
GOBERNACION DEL CAUCA</t>
  </si>
  <si>
    <t>INTERVENTORIA TÉCNICA, ADMINISTRATIVA, FINANCIERA, JURIDICA Y CONTABLE AL CONTRATO DE OBRA DERIVADO DEL PROYECTO: MANTENIMIENTO Y MEJORAMIENTO DE LA VIA 25CC26 VILLARICA-CALOTO DEPARTAMENTO DEL CAUCA</t>
  </si>
  <si>
    <t>INTERVENTORIA TÉCNICA, ADMINISTRATIVA, FINANCIERA, JURIDICA Y CONTABLE AL CONTRATO DE OBRA DERIVADO DEL PROYECTO: MANTENIMIENTO Y MEJORAMIENTO DE LA VIA 25CC24 SANTANDER DE QUILICHAO-LA BALSA-TIMBA-DEPARTAMENTO DEL CAUCA</t>
  </si>
  <si>
    <t>INTERVENTORIA TÉCNICA, ADMINISTRATIVA, FINANCIERA, JURIDICA Y CONTABLE AL CONTRATO DE OBRA DERIVADO DEL PROYECTO: MANTENIMIENTO Y MEJORAMIENTO DE LA VIA HIGUERONES-FLORENCIA-ESMERALDAS-LOS ALPES DEPARTAMENTO DEL CAUCA</t>
  </si>
  <si>
    <t>INTERVENTORIA TÉCNICA, ADMINISTRATIVA, FINANCIERA, JURIDICA Y CONTABLE AL CONTRATO DE OBRA DERIVADO DEL PROYECTO: MANTENIMIENTO Y MEJORAMIENTO DE LA VIA 25CC13 PUENTE LOS ROBLES (CRUCE RUTA 2503) LA CABAÑA EL HATO DEPARTAMENTO DEL CAUCA</t>
  </si>
  <si>
    <t>INTERVENTORIA TÉCNICA, ADMINISTRATIVA, FINANCIERA, JURIDICA Y CONTABLE AL CONTRATO DE OBRA DERIVADO DEL PROYECTO: MANTENIMIENTO Y MEJORAMIENTO DE LA VIA 25CC12 CRUCERO EL LLANO - LOS ROBLES- RIO BLANCO- PARAMO DE BARBILLAS- PANCITAR- LA ZANJA (CRUCE RUTA 25CC25) DEPARTAMENTO DEL CAUCA</t>
  </si>
  <si>
    <t>INTERVENTORIA TÉCNICA, ADMINISTRATIVA, FINANCIERA, JURIDICA Y CONTABLE AL CONTRATO DE OBRA DERIVADO DEL PROYECTO: MANTENIMIENTO Y MEJORAMIENTO DE LA VIA 25ACC02 (Cro. Ruta 2501A) MATACEA DEPARTAMENTO DEL CAUCA</t>
  </si>
  <si>
    <t>INTERVENTORIA TÉCNICA, ADMINISTRATIVA, FINANCIERA, JURIDICA Y CONTABLE AL CONTRATO DE OBRA DERIVADO DEL PROYECTO: MANTENIMIENTO Y MEJORAMIENTO DE LA VIA 25CC19 EL MANGO PESCADOR DEPARTAMENTO DEL CAUCA</t>
  </si>
  <si>
    <t>VALOR 
RP</t>
  </si>
  <si>
    <t>CONSORCIO C&amp;M
Representante legal 
RENE ARMANDO MARTINEZ DORADO</t>
  </si>
  <si>
    <t>2013-019000-0040
05-13-415</t>
  </si>
  <si>
    <t>ADECUACION DE LA CASA DE LA CULTURA DEL MUNICIPIO DE MERCADERES CAUCA</t>
  </si>
  <si>
    <t>2013-019000-0082
11-13-581</t>
  </si>
  <si>
    <t>JULIO CESAR LARA SILVA</t>
  </si>
  <si>
    <t>1309
16/12/2013</t>
  </si>
  <si>
    <t>ADECUACION CASA DE LA CULTURA EN EL MUNICIPIO DE MERCADERES DEPARTAMENTO DEL CAUCA</t>
  </si>
  <si>
    <t>CONSTRUCCION OBRAS DE EMERGENCIA VIA 31CC04 CRUCE RUTA 3105 PR+175, SECTOR EL BARRANCO PARA LA REALIZACION DE OBRAS DE PROTECCION CORINTO CAUCA OCCIDENTE</t>
  </si>
  <si>
    <t>2013-019000-0105
05-13-627</t>
  </si>
  <si>
    <t>1241
25/11/2013</t>
  </si>
  <si>
    <t>MARIA JOSE GONZALEZ CASAS</t>
  </si>
  <si>
    <t>FASE II OBRAS DE EMERGENCIA EN LA VIA 31CC04  CRUCE RUTA 3105  PADILLA PR3+1755, SECTOR EL BARRANCO PARA LA REALIZACION OBRAS DE PROTECCION  Y CONTENCION EN EL MUNICIPIO DE CORINTO CAUCA</t>
  </si>
  <si>
    <t>ESTUDIOS Y DISEÑOS COMPLEMENTARIOS PARA LA REHABILITACION DE LA PCH EL BUCO MUNICIPIO DE PAEZ CAUCA</t>
  </si>
  <si>
    <t>2013-019000-104
06-13-647</t>
  </si>
  <si>
    <t>1322
26/12/2013</t>
  </si>
  <si>
    <t>CONSORCIO EL BUCO
Representante:
WILLIAM OSPINA LOPEZ</t>
  </si>
  <si>
    <t xml:space="preserve">ESTUDIOS Y DISEÑOS COMPLEMENTARIOS PARA LA REHABILITACION DE LA PEQUEÑA CENTRAL HIDROELECTRICA (PCH) EL BUCO , MUNICIPIO DE PAEZ EN EL DEPARTAMENTO DEL CAUCA </t>
  </si>
  <si>
    <t>FELIPE ANDRES GAVIRIA MOSQUERA</t>
  </si>
  <si>
    <t xml:space="preserve">INTERVENTORIA TECNICA, ADMINISTRATIVA, FINANCIERA, JURIDICA Y CONTROL DE CALIDAD A LOS ESTUDIOS Y DISEÑOS COMPLEMENTARIOS PARA LA REHABILITACION DE LA PEQUEÑA CENTRAL HIDROELECTRICA (PCH) EL BUCO , MUNICIPIO DE PAEZ EN EL DEPARTAMENTO DEL CAUCA </t>
  </si>
  <si>
    <t>1354
26/12/2013</t>
  </si>
  <si>
    <t xml:space="preserve">IMPLANTACION Y CONSTRUCCION CENTROS DE DESARROLLO INFANTIL VULNERABLE EN LOS MUNICIPIOS DE MERCADERES PUERTO TEJADA CAUCA </t>
  </si>
  <si>
    <t>1328
16/12/2013</t>
  </si>
  <si>
    <t>HAROLD ALBERTO MUÑOZ MUÑOZ</t>
  </si>
  <si>
    <t>1331
26/12/2013</t>
  </si>
  <si>
    <t>CONSORCIO CDI PUERTO TEJADA</t>
  </si>
  <si>
    <t>2013-019000-0124
03-13-680</t>
  </si>
  <si>
    <t>CONSTRUCCION DE UN CENTRO DE DESARROLLO INFANTIL EN EL MUNICIPIO DE MERCADERES CAUCA</t>
  </si>
  <si>
    <t>CONSTRUCCION DE UN CENTRO DE DESARROLLO INFANTIL EN EL MUNICIPIO DE PUERTO TEJADA CAUCA</t>
  </si>
  <si>
    <t>HECTOR EDUARDO RIOS FUENTES</t>
  </si>
  <si>
    <t>953
03/10/2013</t>
  </si>
  <si>
    <t>REHABILITACION DEL CENTRO EDUCATIVO EL ZARZAL SEDE PRINCIPAL, MUNICIPIO DE EL TAMBO CAUCA</t>
  </si>
  <si>
    <t>REHABILITACION CENTRO EDUCATIVO EN EL ZARZAL SEDE PRINCIPAL MUNICPIO DEL EL TAMBO</t>
  </si>
  <si>
    <t>REHABILITACION DE LA INFRAESTRUCTURA VIAL PUENTE PORTUGAL Y PUENTE ZETA EN LA CARRETERA EL ESTANQUILLO LA FONDA MUNICIPIO DE PATIA CAUCA OCCIDENTE</t>
  </si>
  <si>
    <t>2013-019000-0046
03-13-463</t>
  </si>
  <si>
    <t>2013-019000-0053
05-13-474</t>
  </si>
  <si>
    <t>642
30/07/2013</t>
  </si>
  <si>
    <t>782
30/08/2013</t>
  </si>
  <si>
    <t>JAIRO EMIRO DORADO</t>
  </si>
  <si>
    <t>SELECCIÓN ABREVIADA No. DC-SI-SAM-068-2013</t>
  </si>
  <si>
    <t>PROCESO LIQUIDACION</t>
  </si>
  <si>
    <t>JULIAN ANDRES MUÑOZ</t>
  </si>
  <si>
    <t>PROCESO MENOR CUANTIA No. DC-SI-SAM-O40-2013.</t>
  </si>
  <si>
    <t xml:space="preserve">1 mes </t>
  </si>
  <si>
    <t xml:space="preserve">FELIPE ANDRES GAVIRIA MOSQUERA </t>
  </si>
  <si>
    <t>CONCURSO DE MERITOS DC-SI-CMA-PTS-013-2013.</t>
  </si>
  <si>
    <t>CUANTIA No. DC-SI-MC-C2-088-2013</t>
  </si>
  <si>
    <t>HENRY CUELLAR ANGEL</t>
  </si>
  <si>
    <t>4511 30/10/2013</t>
  </si>
  <si>
    <t>SELECCIÓN ABREVIADA No. DC-SI-SAMC-C5-021-2013</t>
  </si>
  <si>
    <t>LICITACION PUBLICA. LOS RECURSOS SON PROVENIENTES DE FONADE Y LA INTERVENTORIA LA REAIZA EL CONSORCIO VIP. LA GOBERNACION NO PRESENTA SUPERVICION A LOS CONTRATOS SINO AL CONVENIO</t>
  </si>
  <si>
    <t>REHABILITACION DE LA INFRAESTRUCTURA VIAL PUENTE PORTUGAL Y PUENTE LA ZATA EN LA CARRETERA EL ESTANQUILLO- LA FONDA MUNICIPIO DEL PATIA, DEPARATAMENTO DEL CAUCA.</t>
  </si>
  <si>
    <t>INTERVENTORIA TECNICA, ADMINISTRATIVA, FINANCIERA Y CONTABLE  A LOS CONTRATOS DE OBRA DERIVADOS DE LOS PROYECTOS: REHABILITACION DEL PAVIMENTO ASFALTO  DE LA CARRETERA 25CC03 EN EL TRAMO EL ESTRECHO-PUENTE LA BARCA JURISDICCION DEL MUNICIPIO DEL PATIA, DEPARTAMENTO DEL CAUCA Y   REHABILITACION DE LA INFRAESTRUCTURA VIAL PUENTE PORTUGAL Y PUENTE LA ZATA EN LA CARRETERA EL ESTANQUILLO- LA FONDA MUNICIPIO DEL PATIA, DEPARATAMENTO DEL CAUCA.  OFERTA MINIMA CUANTIA No DC-MC-C2-051-2013</t>
  </si>
  <si>
    <t xml:space="preserve">HUGO BETANCOUR ALVAREZ </t>
  </si>
  <si>
    <t xml:space="preserve">JOSE ULICES ASPRILLA CARDENAS </t>
  </si>
  <si>
    <t>OSCAR IVAN MARTINEZ</t>
  </si>
  <si>
    <t>1057                                                                                                                                                                                                                                                                                                                                                      18/03/13</t>
  </si>
  <si>
    <t>1989                                    28/05/13</t>
  </si>
  <si>
    <t xml:space="preserve"> MINIMA CUANTIA No DC-MC-C2-051-2013</t>
  </si>
  <si>
    <t>SELECCIÓN ABREVIADA No. DC-SI-SAM-007-213</t>
  </si>
  <si>
    <t>7 meses</t>
  </si>
  <si>
    <t>5 meses</t>
  </si>
  <si>
    <t>4 meses</t>
  </si>
  <si>
    <t>902
09/09/2013</t>
  </si>
  <si>
    <t>AUNAR ESFUERZOS ENTRE EL DEPARTAMENTO DEL CAUCA Y EL MUNICIPIO DE BOLIVAR CON EL FIN DE EJECUTAR EL MANTENIMIENTO Y EL MEJORAMIENTO DE LA VIA 12CC01  PALMITAS LERMA ALMAGUER (CRUCE RUTA 12CC05)SECTOR PALMITAS RIO BLANCO K27  DEPARTAMENTO DEL CAUCA</t>
  </si>
  <si>
    <r>
      <rPr>
        <u val="singleAccounting"/>
        <sz val="11"/>
        <color theme="1"/>
        <rFont val="Calibri"/>
        <family val="2"/>
        <scheme val="minor"/>
      </rPr>
      <t xml:space="preserve">$ </t>
    </r>
    <r>
      <rPr>
        <sz val="11"/>
        <color theme="1"/>
        <rFont val="Calibri"/>
        <family val="2"/>
        <scheme val="minor"/>
      </rPr>
      <t>508.836.686,00
Adición: $ 193.726.146,00</t>
    </r>
  </si>
  <si>
    <t>$ 32.883.100,00
Adición $ 12.514.711,00</t>
  </si>
  <si>
    <t>3.5 meses</t>
  </si>
  <si>
    <t>2.5 meses</t>
  </si>
  <si>
    <t>3 meses
Adición:
 2 meses</t>
  </si>
  <si>
    <t>3.5
Adición
1.5</t>
  </si>
  <si>
    <t>3 meses
Adición
1.5meses</t>
  </si>
  <si>
    <t>45 dias
Adición 1: 
1 mes
Adición 2: 20 dias</t>
  </si>
  <si>
    <t>2 meses
Adición
45 dias</t>
  </si>
  <si>
    <t>3 meses
Adición:
2 meses</t>
  </si>
  <si>
    <t>2 meses
Adición 1:
1 mes
Adición 2:
20 dias</t>
  </si>
  <si>
    <t>09/10/2013
Adición 1:
12/11/2013</t>
  </si>
  <si>
    <t>suspendido</t>
  </si>
  <si>
    <t>1839
17/05/2013</t>
  </si>
  <si>
    <t>6013
16/09/2013</t>
  </si>
  <si>
    <t>2587
02/07/2013</t>
  </si>
  <si>
    <t>6056
18/09/2013</t>
  </si>
  <si>
    <t>1841
17/05/2013</t>
  </si>
  <si>
    <t>5956
13/09/2013</t>
  </si>
  <si>
    <t>2588
02/07/2013</t>
  </si>
  <si>
    <t>6051
18/09/2013</t>
  </si>
  <si>
    <t>1843
17/05/2013</t>
  </si>
  <si>
    <t>2589
02/07/2013</t>
  </si>
  <si>
    <t>1836
15/05/2013</t>
  </si>
  <si>
    <t>1837
15/05/2013</t>
  </si>
  <si>
    <t>2590
02/07/2013
2591
02/07/2013</t>
  </si>
  <si>
    <t>1840
17/05/2013</t>
  </si>
  <si>
    <t>2592
02/07/2013</t>
  </si>
  <si>
    <t>6055
18/09/2013</t>
  </si>
  <si>
    <t>2606
02/07/2013</t>
  </si>
  <si>
    <t>7562
01/11/2013</t>
  </si>
  <si>
    <t>2593
02/07/2013</t>
  </si>
  <si>
    <t>7298
25/10/2013</t>
  </si>
  <si>
    <t>2599
02/07/2013</t>
  </si>
  <si>
    <t>2598
02/07/2013</t>
  </si>
  <si>
    <t>6180
23/09/2012</t>
  </si>
  <si>
    <t>2596
02/07/2013</t>
  </si>
  <si>
    <t>2597
02/07/2013
5055
27/11/2013</t>
  </si>
  <si>
    <t>6057
18/09/2013
8575
04/12/2013</t>
  </si>
  <si>
    <t>LIQUIDADO</t>
  </si>
  <si>
    <t>EN TRAMITE DE LIQUIDACION</t>
  </si>
  <si>
    <t>SUSPENDIDO</t>
  </si>
  <si>
    <t>JULIAN MUÑOZ I.
Memorando Nro. 0146-2013</t>
  </si>
  <si>
    <t>Supervisor JULIAN ANDRES MUÑOZ
Memorando No. 0143-04/10/2013</t>
  </si>
  <si>
    <t>Supervisor 
HENRRY CUELLAR ANGEL
Memorando No. 0141-04/10/2013</t>
  </si>
  <si>
    <t>EN EJECUCIÓN</t>
  </si>
  <si>
    <t>YEDILVER SANCHEZ
Mmemorando No.
0140 04-10-2013</t>
  </si>
  <si>
    <t>PROCESO DE LIQUIDACION</t>
  </si>
  <si>
    <t>TRAMITE DE SUSPENSIÓN</t>
  </si>
  <si>
    <t>MELBA ROCIO CRUZ
Memorando No.
27/09/2013</t>
  </si>
  <si>
    <t>EN EJECUCION</t>
  </si>
  <si>
    <t>Licitacion publica 
DC-SI-LP006-2013</t>
  </si>
  <si>
    <t>Seleccón abreviada
DC-SI-SAMC-024-2013</t>
  </si>
  <si>
    <t>Seleccón abreviada
DC-SI-SAMC-025-2013</t>
  </si>
  <si>
    <t>Seleccón abreviada
DC-SI-SAMC-023-2013</t>
  </si>
  <si>
    <t>Seleccón abreviada
DC-SI-SAMC-026-2013</t>
  </si>
  <si>
    <t>Licitación publica
DC-SI-LP-008-2013</t>
  </si>
  <si>
    <t>Seleccón abreviada
DC-SI-SAMC-029-2013</t>
  </si>
  <si>
    <t xml:space="preserve">Oferta de minima cuantia
DC-SI-MC-C3-067-2013
</t>
  </si>
  <si>
    <t>Licitación publica
DC-SI-LP-007-2013</t>
  </si>
  <si>
    <t>Oferta minima cuantia
DC-SI-MC-C3-056-2013</t>
  </si>
  <si>
    <t>SUPENDIDO</t>
  </si>
  <si>
    <t>EN PROCESO DE LIQUIDACION</t>
  </si>
  <si>
    <t>2136
06/06/2013
2139
06/06/2013</t>
  </si>
  <si>
    <t>773
2013</t>
  </si>
  <si>
    <t>ANTICIPO</t>
  </si>
  <si>
    <t xml:space="preserve"> </t>
  </si>
  <si>
    <t>EJECUCIÓN</t>
  </si>
  <si>
    <t xml:space="preserve"> 31/1272013</t>
  </si>
  <si>
    <t>2135
06/06/2013</t>
  </si>
  <si>
    <t>5530
28/08/2013</t>
  </si>
  <si>
    <t>EDGAR ARMANDO SALAZAR MUÑOZ</t>
  </si>
  <si>
    <t>REHABILITACION DE LA VIA TERCIARIA LOMA GRANDE - SAUCE MUNICIPIO DE ROSAS CAUCA</t>
  </si>
  <si>
    <t>2137
06/06/2013</t>
  </si>
  <si>
    <t>5574
28/08/2013</t>
  </si>
  <si>
    <t>Selección Abreviada
DC-SI-SAMC-013-2013</t>
  </si>
  <si>
    <t>MEJORAMIENTO DE LA SEÑALIZACION VIAL DE LA CARRETERA PUERTO TEJADA-PADILLA CODIGO 31CC02 PUERTO TEJADA CAUCA OCCIDENTE</t>
  </si>
  <si>
    <t>ESTUDIOS Y DISEÑOS PARA LA CONSTRUCCION DE LA PLAZA DE MERCADO REGIONAL DEL NORTE DEL CAUCA</t>
  </si>
  <si>
    <t>ADECUACION MANTENIMIENTO Y DOTACION DE LA PLANTA FISICA DEL SEGUNDO PISO DEL EDIFICIO DE LA LOTERIA DEL CAUCA, UBICADO EN POPAYAN CAUCA OCCIDENTE</t>
  </si>
  <si>
    <t>2013-019000-0079
05-13-524</t>
  </si>
  <si>
    <t>2013-019000-122
05-13-648</t>
  </si>
  <si>
    <t>2013-019000-0017
07-13-697</t>
  </si>
  <si>
    <t xml:space="preserve">PAGO  3 </t>
  </si>
  <si>
    <t>PAGO 4</t>
  </si>
  <si>
    <t>PAGO 5</t>
  </si>
  <si>
    <t>PAGO 6</t>
  </si>
  <si>
    <t>PAGO 7</t>
  </si>
  <si>
    <t>PAGO 8</t>
  </si>
  <si>
    <t>PAGO 9</t>
  </si>
  <si>
    <t>PAGO 10</t>
  </si>
  <si>
    <t xml:space="preserve">JORGE JAVIER ÑANEZ HOYOS  </t>
  </si>
  <si>
    <t xml:space="preserve">PRESTAR LOS SERVICIOS PROFESIONALES PARA EL APOYO A LA SECRETARIA DE INFRAESTRUCTURA EN LA REALIZACION DE AJUSTES DE PROYECTOS DE INVERSION PRESENTADOS ANTE DISTINTAS ENTIDADES DEL OREDEN NACIONAL, Y FORMULACION DE PROYECTOS CORRESPONDIENTES AL PLAN DE ACCION 2013 </t>
  </si>
  <si>
    <t xml:space="preserve">3 MESES </t>
  </si>
  <si>
    <t>213              16/01/13</t>
  </si>
  <si>
    <t xml:space="preserve">YEDILVER SANCHEZ RODRIGUEZ </t>
  </si>
  <si>
    <t>LIQUIDADO                                                                  07/05/13</t>
  </si>
  <si>
    <t>153                             27/02/13</t>
  </si>
  <si>
    <t xml:space="preserve">ELIANA ANDREA PLAZA VASQUEZ </t>
  </si>
  <si>
    <t xml:space="preserve">PRESTAR LOS SERVICIOS PROFESION PARA LA ESTRUCTURACION DE PROYECTOS ENMARCADOS EN EL PLAN DE DESARROLLO PARA LA SECRETARIA DE INFRAESTRUCTURA CON BASE EN EL PROYECTO FORMULACION DE PROYECTOS DE EJES; ECONOMICO, SOCIAL, TERRITORIAL Y AMBIENTAL, SEGURIDAD Y CONVIVENVIA Y GERENCIA PUBLICA DEL PLAN DEPARTAMENTAL DE DESAROOLLO DEL DEPARTAMENTO DEL CAUCA </t>
  </si>
  <si>
    <t xml:space="preserve">10 MESES </t>
  </si>
  <si>
    <t>337             31/01/13</t>
  </si>
  <si>
    <t xml:space="preserve">LIQUIDADO                                                           24/02/13                                   </t>
  </si>
  <si>
    <t>219          14/O3/13</t>
  </si>
  <si>
    <t xml:space="preserve">GLORIA CECILIA MARMOLEJO ZUÑIGA </t>
  </si>
  <si>
    <t xml:space="preserve">PRESTAR LOS SERVICIOS PROFESIONALES COMO APOYO A LA SUPERVICION DE LOS CONVENIOS Y/O CONTRATOS SUSCRITOS PARA EL DESARROLLO DE PROYECTOS O PROGRAMAS DE VIVIENDA DE INTERES SOCIAL RURAL </t>
  </si>
  <si>
    <t xml:space="preserve">8 MESES </t>
  </si>
  <si>
    <t>LIQUIDADO                                                                31/12/13</t>
  </si>
  <si>
    <t>CLAUDIA CECILIA VALENCIA CAMARGO</t>
  </si>
  <si>
    <t xml:space="preserve">PRESTAR LOS SERVICIOS PROFESIONALES COMO AP0YO A LA GESTION PARA LA ACTUALIZACION DEL SISTEMA DE INFORMACION GEOGRAFICA DEL PLAN VIAL DEPARTAMENTAL Y DEL INVENTARIO VIAL E IMPLEMENTACION DE LA BASE DE DATOS MDE. INFRAESTRUCTURA EDUCATIVA DEPARTAMENTO DEL CAUCA </t>
  </si>
  <si>
    <t>CARLOS IGNACIO SOLANO CARRILLO</t>
  </si>
  <si>
    <t xml:space="preserve">PRESTACION DE SERVICIOS PARA APOYAR LA GESTION CONTRACTUAL EN LA SECRETARIA DE INFRAESTRUCTURA, EN ACTIVIDADES RELACIONADAS CON EL ARCHIVO DOCUMENTAL, REPARACION, DIGITACION Y SEGUIMIENTO A LA DOCUMENTACION DE LOS PROCESOS CONTRACTUALES. Y APOYO LOGISTICO DE LAS DIFERENTES ETAPAS DEL PROCESO CONTRACTUAL DE LA SECRETARIA DE INFRAESTRUCTURA DEL DEPARTAMENTO DEL CAUCA </t>
  </si>
  <si>
    <t>342             01/02/13</t>
  </si>
  <si>
    <t>LIQUIDADO                                                     20/06/13</t>
  </si>
  <si>
    <t>242         20/03/13</t>
  </si>
  <si>
    <t>RICARDO FELIPE CASTILLO MARIN</t>
  </si>
  <si>
    <t xml:space="preserve">PRESTACION DE SERVICIOS COMO APOYO A LA SUPERVICION DE LOS CONVENIOS  Y/O CONTRATOS SUSCRITOS PARA EL MANTENIMIENTO Y MEJORMIENTO Y/O REHABILITACION DE LA RED VIAL SECUNDARIA DEL DEPARTAMENTO </t>
  </si>
  <si>
    <t>31/11/13</t>
  </si>
  <si>
    <t>243          20/03/13</t>
  </si>
  <si>
    <t xml:space="preserve">EDINSON DAVID HOYOS HOYOS </t>
  </si>
  <si>
    <t xml:space="preserve">PRESTAR LOS SERVICIOS PROFESIONALES COMO APOYO A LA SUPERVICION DE LOS CONVENIOS Y/O CONTRATOS SUSCRITOS PARA LA AMPLIACION DE LA COBERTURA ELECTRICA Y PROYECTOS DE GENERACION DE ENERGIA ELECTRICA DEL DEPARTAMENTO  </t>
  </si>
  <si>
    <t>9 MESES</t>
  </si>
  <si>
    <t xml:space="preserve">GUSTAVO VELEZ SILVA </t>
  </si>
  <si>
    <t xml:space="preserve">NELSON ENRIQUE PAREJA LOPZ </t>
  </si>
  <si>
    <t xml:space="preserve">PRESTAR LOS SERVICIOS PROFESIONALES ESPECIALIZADOS EN INGENIERIA CIVIL, EN EL AREA DE VIAS Y PAVIMENTACION, COMO APOYO PARA LA ATENCION INTEGRAL DE LA INFRAESTRUCTURA VIAL DEL DEPARTAMENTO DEL CAUCA </t>
  </si>
  <si>
    <t>20//11/13</t>
  </si>
  <si>
    <t>326        15/04/13</t>
  </si>
  <si>
    <t xml:space="preserve">OSCAR FELIPE BRAVO ESPADA </t>
  </si>
  <si>
    <t xml:space="preserve">PRESTAR LOS SERVICIOS PROFESIONALES COMO APOYO A LA SUPERVECION DE LOS CONVENIOS Y/O CONTRATOS SUSCRITOS PARA LA CONSTRUCCION Y/O MANTENIMIENTO Y/O MEJORAMIENTO DE LA INFRAESTRUCTURA EDUCATIVA DEL DEPARTAMENTO </t>
  </si>
  <si>
    <t>379         29/04/13</t>
  </si>
  <si>
    <t>MARIA CRISTINA VIVAS PASTOR</t>
  </si>
  <si>
    <t xml:space="preserve">COMPRA DE 5 COMPUTADORES PORTATILES, 10 COMPUTADORES DE ESCRITORIO, 5 IMPRESORAS MULTIFUNCIONALES SISTEMA CONTINUO DE TINTA, 2 ESCANERS PARA HOJA TAMAÑO OFICIO, 4 CAMARAS FOTOGRAFICAS DIGITALES CON DESTINO A LA SECRETARIA DE INFRAESTRUCTURA </t>
  </si>
  <si>
    <t>2 MESES</t>
  </si>
  <si>
    <t>396            02/05/13</t>
  </si>
  <si>
    <t>LUIS FERNANDO CAMPAÑA TOSSE</t>
  </si>
  <si>
    <t xml:space="preserve">PRESTAR LOS SERVICIOS COMO APOYO DE GESTION EN LA SUPERVICION DE PROYECTOS ESPECIALES QUE ADELANTA LA SECRETARIA DE INFRAESTRUCTURA DEL DEPARTAMENTO </t>
  </si>
  <si>
    <t>1138                                21/03/13</t>
  </si>
  <si>
    <t>423          10/05/13</t>
  </si>
  <si>
    <t>3 MESES</t>
  </si>
  <si>
    <t>1636             03/05/13</t>
  </si>
  <si>
    <t>2670                 14/05/13</t>
  </si>
  <si>
    <t>428        16/05/13</t>
  </si>
  <si>
    <t>506          18/06/13</t>
  </si>
  <si>
    <t xml:space="preserve">CESAR AUGUSTO CERON PINO </t>
  </si>
  <si>
    <t xml:space="preserve">PRESTAR LOS SERVICIOS PROFESIONALES ESPECIALIZADOS EN EL AREA ESTRUCTURAL, COMO APOYO PARA LA ATENCION INTEGRAL DE LA INFRAESTRUCTURA VIAL DEL DEPARTAMENTO DEL CAUCA </t>
  </si>
  <si>
    <t>6 MESES</t>
  </si>
  <si>
    <t>669         05/08/13</t>
  </si>
  <si>
    <t xml:space="preserve">MARIA CECILIA VILLEGAS RUEDA </t>
  </si>
  <si>
    <t xml:space="preserve">PRESTAR LOS SERVICIOS PROFESIONALES PARA APOYAR LA GESTION DE LA SECRETARIA DE INFRAESTRUCTURA DEL DEPARTAMENTO DEL CAUCA EN ACTIVIDADES RELACIONADAS CON LOS PROCESOS DE CONTRATACION QUE SE ADELANTAN AL INTERIOR DEL MISMO </t>
  </si>
  <si>
    <t>3148           05/08/13</t>
  </si>
  <si>
    <t>LIQUIDADO                                                                07/10/13</t>
  </si>
  <si>
    <t>670          05/08/13</t>
  </si>
  <si>
    <t xml:space="preserve">PRESTAR LOS SERVICIOS PROFESIONALES  PARA REALIZAR AOPYO JURIDICO A LA SECRETARIA DE INFRAESTRUCTURA EN LA ETAPA PRECONTRACTUAL, EN DESARROLLO DEL PROYECTO  "INCREMENTO DE LA CAPACIDAD OPERATIVA Y DE LA EJECUACION DE LA SECRETARIA DE INFRAESTRUCTURA DEL DEPARTAMENTO DEL CAUCA EN EL MARCO DEL FORTALECIMIENTO INSTITUCIONAL </t>
  </si>
  <si>
    <t>4 MESES</t>
  </si>
  <si>
    <t xml:space="preserve">    05/08/13</t>
  </si>
  <si>
    <t>3147                                    05/08/13</t>
  </si>
  <si>
    <t>750          23/08/13</t>
  </si>
  <si>
    <t xml:space="preserve">DIEGO FRANCISCO RICARDO VARGAS </t>
  </si>
  <si>
    <t xml:space="preserve">PRESTAR LOS SERVICIOS PROFESIONALES ESPECIALIZADOS EN EL AREA ESTRUCTURAL, COMO APOYO PARA LA ATENCION INTEGRAL DE LA INFRAESTRUCTURA EDUCATIVA DEL DEPARTAMENTO DEL CAUCA </t>
  </si>
  <si>
    <t>751          23/08/13</t>
  </si>
  <si>
    <t>SULMA NURY MOLANO ORTEGA</t>
  </si>
  <si>
    <t xml:space="preserve">PRESTAR LOS SERVICIOS PROFESIONALES COMO APOYO A LA SUPERVECION DE LOS CONVENIOS Y/O CONTRATOS SUSCRITOS PARA EL MANTENIMIENTO Y/O MEJORAMIENTO Y/O REHABILITACION DE RED VIAL DEL DEPARTAMEMTO Y ASISTENCIA TECNICA A OTROS  PROYECTOS A CARGO DE LA SECRETARIA DE INFRAESTRUCTURA DEL DEPARTAMENTO </t>
  </si>
  <si>
    <t>752          23/08/13</t>
  </si>
  <si>
    <t xml:space="preserve">LIGIA YANETH CASAS TRUJILLO </t>
  </si>
  <si>
    <t xml:space="preserve">PRESTAR LOS SERVICIOS PROFESIONALES COMO APOYO A LA SUPERVECION DE LOS CONVENIOS Y/O CONTRATOS SUSCRITOS PARA EL MANTENIMIENTO Y/O MEJORAMIENTOS DE LA RED VIAL DEL DEPARTAMENTO Y ASISITENCIA TECNICA A OTROS PROGRAMAS Y  PROYECTOS  QUE ADELANTA LA SECRETARIA DE INFRAESTRUCTURA DEPARTAMENTAL EN EL MARCO DEL PROYECTO  DESARROLLO CAPACIDAD TECNICA Y OPERATIVA DE LA SECRETARIA DE  INFRAESTRUCTURA DEL DEPARTAMENTO </t>
  </si>
  <si>
    <t>3361            16/08/13</t>
  </si>
  <si>
    <t>796          04/09/13</t>
  </si>
  <si>
    <t xml:space="preserve">ALEIDA STELLA VASQUEZ AGREDO </t>
  </si>
  <si>
    <t>3360             16/08/13</t>
  </si>
  <si>
    <t>826          09/09/13</t>
  </si>
  <si>
    <t xml:space="preserve">SARA PATRICIA LOPEZ SUAREZ </t>
  </si>
  <si>
    <t>PRESTAR LOS SERVICIOS COMO APOYO PARA IMPLEMENTACION TECNICA E INTEGRAL DEL SISTEMA DE INFRAESTRUCTURA EDUCATIVA (SICIEIDI) EN MARCO DEL PROYECTO DESARROLLO DE LA CAPACIDAD TECNICA Y OPERATIVA DE LA SECRETARIA DE INFRAESTRUCTURA PARA EL CUMPLIMIENTO DE METAS Y OBJETIVOS ESTABLECIDOS EN EL PLAN DE DESARROLLO SSEPPI-2013-019000-0073</t>
  </si>
  <si>
    <t>3573           02/09/13</t>
  </si>
  <si>
    <t>1003         15/10/13</t>
  </si>
  <si>
    <t>VICTORIA EUGENIA AYERBE TORRES</t>
  </si>
  <si>
    <t xml:space="preserve">PRESTAR LOS SERVICIOS PROFESIONALES EN APOYO A LA GESTION DE COSTOS Y ESTRUCTURACION DEL PROYECTO DE SISTEMA DE COSOTOS EN LA SECRETARIA DE INFRAESTRUCTURA </t>
  </si>
  <si>
    <t>3575                 02/09/13</t>
  </si>
  <si>
    <t>1004            15/10/13</t>
  </si>
  <si>
    <t xml:space="preserve">HECTOR MARINO RIASCOS CAICEDO </t>
  </si>
  <si>
    <t>3576            02/09/13</t>
  </si>
  <si>
    <t>1047          29/10/13</t>
  </si>
  <si>
    <t xml:space="preserve">JOSE HENRY SUAREZ SOLARTE </t>
  </si>
  <si>
    <t xml:space="preserve">PRESTAR LOS SERVICIOS PROFESIONALES PARA LA GESTION INTEGRAL EN EL AREA DE SISTEMAS DE LA SECRETARIA DE INFRAESTRUCTURA </t>
  </si>
  <si>
    <t>3574            02/09/13</t>
  </si>
  <si>
    <t>INCREMENTO DE LA CAPACIDAD OPERATIVA Y DE EJECUCION DE LA SECRETARIA DE INFRAESTRUCTURA EN EL MARCO DEL FORTALECIMIENMTO INSTITUCIONAL DE LA GOBERNACION DEL CAUCA</t>
  </si>
  <si>
    <t>2013-019000-0028
07-13-385</t>
  </si>
  <si>
    <t>MODERNIZACION Y FORTALECIMIENTO INSTITUCIONAL</t>
  </si>
  <si>
    <t>ADMINISTRACION Y FINANZAS</t>
  </si>
  <si>
    <t>GERENCIA PUBLICA</t>
  </si>
  <si>
    <t xml:space="preserve">GERENCIA PUBLICA </t>
  </si>
  <si>
    <t xml:space="preserve">CAMINOS DE OPORTUNIDADES </t>
  </si>
  <si>
    <t xml:space="preserve">CONCURRENCIA CON LOS MUNICIPIOS Y LA NACION EN EL MANTENIMIENTO. AMPLIACION Y RECUPERACION DE LA INFRAESTRUCTURA VIAL TERCIARIA </t>
  </si>
  <si>
    <t xml:space="preserve">MANTENIMIENTO PERIODICO, MEJORAMIENTO PAVIMENTACION Y REHABILITACION DE LA RED VIAL SECUNDARIA </t>
  </si>
  <si>
    <t>SOCIAL</t>
  </si>
  <si>
    <t xml:space="preserve">SOMOS CAUCA </t>
  </si>
  <si>
    <t>INTRAESTRUCTURA CULTURAL</t>
  </si>
  <si>
    <t xml:space="preserve">CONCURRENCIA CON LOS MUNICIPIOS Y LA NACION EN LA GESTION DE RECURSOS PARA ESTUDIOS Y CONSTRUCCION DE PEQUENAS MICRO-CENTRALES  GENERACION ELECTRICA Y PROYECTOS ENERGETICOS SOSTENIBLES </t>
  </si>
  <si>
    <t xml:space="preserve">PLANIFICACION Y DESARROLLO DE INFRAESTRUCTURA </t>
  </si>
  <si>
    <t xml:space="preserve">APOYO TECNICO PARA EL DESARROLLO DE INFRAESTRUCTURA PARA LA PRODUCCION DE SERVICIOS SOCIALES, INSTITUCIONALES Y VIVIENDA DE INTERES SOCIAL  </t>
  </si>
  <si>
    <t xml:space="preserve">COBERTURA EDUCATIVA </t>
  </si>
  <si>
    <t>EDUCACION CON EQUIDAD</t>
  </si>
  <si>
    <t>MANTENIMIENTO, MEJORAMIENTO, REHABILITACION, ESTUDIOS Y CONSTRUCCION DE PUENTES, PONTONES VEHICULARES.</t>
  </si>
  <si>
    <t>3843           20/09/13</t>
  </si>
  <si>
    <t>4199       08/10/13</t>
  </si>
  <si>
    <t>8159                                               25/11/13</t>
  </si>
  <si>
    <t>4506 28/10/2013.   Y  1783  03/01/14</t>
  </si>
  <si>
    <t>4510  30/10/2013</t>
  </si>
  <si>
    <t>938                                              21/12/2013</t>
  </si>
  <si>
    <t>9579                       26/12/2013</t>
  </si>
  <si>
    <t>1693                                                                             10/05/13</t>
  </si>
  <si>
    <t xml:space="preserve">3563
  18/06/13
</t>
  </si>
  <si>
    <t>4913
05/08/13</t>
  </si>
  <si>
    <t xml:space="preserve">4912   
 05/08/13
</t>
  </si>
  <si>
    <t>5426
   23/08/13</t>
  </si>
  <si>
    <t>LIQUIDADO                                                                31/12/13   
SALDO PARA EJECUTAR 263000</t>
  </si>
  <si>
    <t>LIQUIDADO                                                                31/12/13 
 SALDO PARA EJECUTAR 424500</t>
  </si>
  <si>
    <t>5752 
04/09/13</t>
  </si>
  <si>
    <t>LIQUIDADO                                                                31/12/13  
SALDO 745500</t>
  </si>
  <si>
    <t>497 
04/02/13</t>
  </si>
  <si>
    <t>890  
 27/02/13</t>
  </si>
  <si>
    <t>2132
06/06/2013</t>
  </si>
  <si>
    <t>619
25/07/2013</t>
  </si>
  <si>
    <t>MARIA ALEJANDRA VALENZUELA OSSA</t>
  </si>
  <si>
    <t>REALIZAR LOS ESTUDIOS DISEÑOS Y PRESUPUESTOS REQUERIDOS PARA LA ADECUACION DE LA PLANTA FISICA Y EL MANTENIMIENTO DE LAS INSTALACIONES DEL EDIFICIO DE LA GOBERNACION DEL CAUCA UBICADO EN LA CALLE 5 NRO. 9-10</t>
  </si>
  <si>
    <t xml:space="preserve">29/11/2013
</t>
  </si>
  <si>
    <t>2636
05/07/2013</t>
  </si>
  <si>
    <t>NUBIA ROSA VARONA LOPEZ 
Memorando Nr.
087/2013</t>
  </si>
  <si>
    <t>Oferta minima cuantia
DC-SI-MC-C2-035-2013</t>
  </si>
  <si>
    <t>676 
06/08/2013</t>
  </si>
  <si>
    <t>CONSORCIO CONSTRUCCIONES DE OCCIDENTE
Representante Legal
JUAN CARLOS MARTINEZ</t>
  </si>
  <si>
    <t>ADECUACION Y MANTENIMIENTO DE LA PLANTA FISICA DE LA ASAMBLEA DEPARTAMENTAL DEL CAUCA</t>
  </si>
  <si>
    <t>416.654.665,00
Adición
132.000.000,00</t>
  </si>
  <si>
    <t xml:space="preserve">1809
14/05/2013
5038
27/11/2013
</t>
  </si>
  <si>
    <t>ARNULFO ARIAS SAENZ
Memorando Nr
0109/2013
JULIAN MUÑOZ
Memorando Nr
0166/2013</t>
  </si>
  <si>
    <t>783
30/08/2013</t>
  </si>
  <si>
    <t>YIMMY ALEXANDER ASTUDILLO</t>
  </si>
  <si>
    <t>INTERVENTORIA TECNICA ADMINISTRATIVA FINANCIERA JURIDICA Y CONTABLE DE LA OBRA DE ADECUACION MANTENIMIENTO DE OBRAS CIVILES, ELECTRICAS, CABLEADO ESTRUCTURADO DE LA PLANTA FISICA DE LA ASAMBLEA DEPARTAMENTAL DEL CAUCA</t>
  </si>
  <si>
    <t>27.751.160,00
Adición
9.240.000.00</t>
  </si>
  <si>
    <t>1810
14/05/2013
5037
17/11/2013</t>
  </si>
  <si>
    <t>5960
30/08/2013
8604
05/12/2013</t>
  </si>
  <si>
    <t>ARNULFO ARIAS SAENZ
Memorando Nr
0121/2013
JULIAN MUÑOZ
Memorando Nr
0172/2013</t>
  </si>
  <si>
    <t>LIQUIDADO                                                                31/12/13 
SALDO PARA EJECUTAR 874850</t>
  </si>
  <si>
    <t>7490 
29/10/13</t>
  </si>
  <si>
    <t>5876 
09/09/13</t>
  </si>
  <si>
    <t>6970 
  15/10/13</t>
  </si>
  <si>
    <t xml:space="preserve"> SALDO ´POR EJECUTAR  5905500</t>
  </si>
  <si>
    <t>ESTUDIOS Y DISEÑOS PARA TRES VIAS RED SECUNDARIA (CON CODIGO 25CC12, 26CC01-1, 26CC03) PARA REHABILITACION Y PAVIMENTACION</t>
  </si>
  <si>
    <t>2013-019000-0009
05-13-338</t>
  </si>
  <si>
    <t>Se solicito viabilidad técnica y finanaciera a FINDETER pero no se aprobó crédito, por consiguiente se presentó el proyecto a Contrato Plan y se ajusta el proyecto incluyendo  tres vias diferentes</t>
  </si>
  <si>
    <t>6969 
15/10/13</t>
  </si>
  <si>
    <t xml:space="preserve">PRESTAR LOS SERVICIOS PROFESIONALES EN APOYO A LA GESTION DE COSTOS Y ESTRUCTURACION DEL PROYECTO DE SISTEMA DE COSTOS EN LA SECRETARIA DE INFRAESTRUCTURA </t>
  </si>
  <si>
    <t xml:space="preserve">PAGO 3 PENDIENTE, SIN LIQUIDAR </t>
  </si>
  <si>
    <t xml:space="preserve">SEGURIDAD ALIMENTARIA PARA FAMILIAS VULNERABLES </t>
  </si>
  <si>
    <t xml:space="preserve">PROGRAMA DE NUTRICION Y ALIMENTACION ESCOLAR-PANES DEL DEPARTAMENTO DEL CAUCA </t>
  </si>
  <si>
    <t xml:space="preserve">CONSOLIDACION DE CADENAS PRODUCTIVAS </t>
  </si>
  <si>
    <t xml:space="preserve">DOTACION DE LABORATORIO DE SUELOS AGRICOLAS DE LA GOBERNACION DEL CAUCA DE UN ESPECTOMETRO DE ULTIMA TECNOLOGIA </t>
  </si>
  <si>
    <t>SIN INICIO</t>
  </si>
  <si>
    <t>1373 
12/03/14</t>
  </si>
  <si>
    <t>186
07/03/|13</t>
  </si>
  <si>
    <t xml:space="preserve">HENRY SANCHEZ </t>
  </si>
  <si>
    <t>5 MESES</t>
  </si>
  <si>
    <t>847
04//03/13</t>
  </si>
  <si>
    <t>1158 
07/03/13</t>
  </si>
  <si>
    <t xml:space="preserve">ANIBAL MELO MARTINEZ </t>
  </si>
  <si>
    <t xml:space="preserve">CONTRATACION DIRECTA </t>
  </si>
  <si>
    <t>187
07/03/13</t>
  </si>
  <si>
    <t xml:space="preserve">VIVIANA ANDREA MUÑOZ PORTILLA </t>
  </si>
  <si>
    <t xml:space="preserve">PRESTAR LOS SERVICIOS DE APOYO A LA GESTION EN LA SECRETARIA DE DESARROLLO AGROPECUARIO Y FOMENTO ECONOMICO- LABORATORIO SULEOS  </t>
  </si>
  <si>
    <t xml:space="preserve">PRESTAR LOS SERVICIOS COMO PROFESIONAL EN QUIMICA EN LA SECRETARIA DE DESARROLLO AGROPECUARIO Y FOMENTO ECONOMICO- LABORATORIO SULEOS  </t>
  </si>
  <si>
    <t>848
04/03/13</t>
  </si>
  <si>
    <t>1159  
07/03/13</t>
  </si>
  <si>
    <t>185
07/03/13</t>
  </si>
  <si>
    <t>RICARDO BONILLA</t>
  </si>
  <si>
    <t>846
  04(03/13</t>
  </si>
  <si>
    <t>1157
07/03/13</t>
  </si>
  <si>
    <t>239
20/03/13</t>
  </si>
  <si>
    <t>RUBEN DARIO PANZZA MARTINEZ</t>
  </si>
  <si>
    <t xml:space="preserve">PLANIFICACION TURISTICA </t>
  </si>
  <si>
    <t xml:space="preserve">IMPLEMENTACION DE LA CORPORACION MIXTA DE TURISMO DEPARTAMENTO DEL CAUCA </t>
  </si>
  <si>
    <t>2013-01900- 0011
17-13-358</t>
  </si>
  <si>
    <t>652
22/02/13</t>
  </si>
  <si>
    <t>ENTIDAD CREADA
ENTE JURIDICO</t>
  </si>
  <si>
    <t>EN FUNCIONAMIENTO</t>
  </si>
  <si>
    <t xml:space="preserve">GERENTE PROVISIONAL 
JAIME AUGUSTO BURBANO CASTILLO 
</t>
  </si>
  <si>
    <t xml:space="preserve">TRASFERENCIA DE RECURSOS 70000000
23/09/13 COMPROBANTE 1109 POR LA GOBERNACION. LA CORPORACION SE COMPROMETE A BUSCAR RECUSROS PROPIOS PARA ALCANZAR EL VALOR DEL PROYECTO </t>
  </si>
  <si>
    <t>895
07/03/13</t>
  </si>
  <si>
    <t>1405
20/03/13</t>
  </si>
  <si>
    <t>LIQUIDADO
   07/08/13</t>
  </si>
  <si>
    <t>LIQUIDADO
   08/08/14</t>
  </si>
  <si>
    <t>LIQUIDADO
   06/08/14</t>
  </si>
  <si>
    <t>LIQUIDADO 
05/09/13</t>
  </si>
  <si>
    <t>261
26/03/13</t>
  </si>
  <si>
    <t xml:space="preserve">NESTOR RAUL BASTOS TROCHEZ </t>
  </si>
  <si>
    <t xml:space="preserve">COODINAR Y APOYAR LA GESTION Y DESARROLLO DEL PROGRAMA PANES, EN TODOS SUS COMPONENTES: PRODUCCION Y TRANSFORMACION DE ALIMENTOS DE ALTO VALOR NUTRICIONAL, ASISTENCIA TECNICA PARA LA PRODUCCION DE ALIMENTOS EN INSTITUCIONES EDUCATIVAS Y FAMILIAS VULNERABLES DEL AREA DE INFLUENCIA DE DICHA INSTITUCION </t>
  </si>
  <si>
    <t>892              07/03/13</t>
  </si>
  <si>
    <t xml:space="preserve">HERNANDO SANCHEZ </t>
  </si>
  <si>
    <t>5 MESES Y 15 DIAS</t>
  </si>
  <si>
    <t>262 
26/03/13</t>
  </si>
  <si>
    <t xml:space="preserve">OSCAR IVAN LOPEZ </t>
  </si>
  <si>
    <t xml:space="preserve">PRESTAR SERVICIOS TECNICOS COMO OPERARIO ENCAMINADO A REALIZAR TODAS LAS ACTIVIDADES PARA LA OPERACIÓN DE PLANTA PROCESADORA DE GRANOS Y SEMILLAS DEL PROGRAMA PANES, PARA LA PRODUCCION DE ALIMENTOS DE ALTO NIVEL NUTRICIONAL A BASE DE CEREALES PARA LA ATENCION A BENEFICIARIOS DEL PROGRAMA PANES </t>
  </si>
  <si>
    <t>897
07/03/13</t>
  </si>
  <si>
    <t>LIQUIDADO 
10/09/13</t>
  </si>
  <si>
    <t xml:space="preserve">PRESTAR LOS SERVICIOS COMO TECNICO LABORATORISTA EN LA SECRETARIA DE DESARROLLO AGROPECUARIO Y FOMENTO ECONOMICO- LABORATORIO SUElOS  </t>
  </si>
  <si>
    <t>888
19/09/13</t>
  </si>
  <si>
    <t xml:space="preserve">3 MESES Y 12 DIAS </t>
  </si>
  <si>
    <t>2517 
  27/07/13</t>
  </si>
  <si>
    <t>1560
 25/03/13</t>
  </si>
  <si>
    <t>6083 
19/09/13</t>
  </si>
  <si>
    <t>LIQUIDADO 
31/12/13</t>
  </si>
  <si>
    <t>812
06/09/13</t>
  </si>
  <si>
    <t xml:space="preserve">PRESTAR LOS SERVICIOS PROFESIONALES COMO INGENIERO AGROINDUSTRIAL ENCAMINADAS A PROGRAMAS, COORDINAR Y EJECUTAR LAS ACCIONES PARA LA OPERACIÓN DE LA PLANTA PROCESADORA DE GRANOS, PARA LA PRODUCCION DE ALIMENTOS DE ALTO VALOR NUTRICIONAL A BASE DE CEREALES PARA LA ATENCION   A BENEFECIARIOS DE PROGRAMA PANES </t>
  </si>
  <si>
    <t xml:space="preserve">PRESTAR LOS SERVICIOS PROFESIONALES COMO INGENIERO AGROINDUSTRIAL ENCAMINADAS A PROGRAMAS, COORDINAR Y EJECUTAR LAS ACCIONES PARA LA OPERACIÓN DE LA PLANTA PROCESADORA DE GRANOS, PARA LA PRODUCCION DE ALIMENTOS DE ALTO VALOR NUTRICIONAL A BASE DE CEREALES  PARA LA ATENCION   A BENEFECIARIOS DE PROGRAMA PANES </t>
  </si>
  <si>
    <t xml:space="preserve">  06/09/13</t>
  </si>
  <si>
    <t xml:space="preserve">3 MESES Y 24 DIAS </t>
  </si>
  <si>
    <t xml:space="preserve">CONTRATAR UN OPERADOR PARA QUE PRESTE LOS SERVICIOS DE APOYO LOGISTICO PARA LA REALIZACION DE DOS ENCUENTROS DE SABORES Y SABERES </t>
  </si>
  <si>
    <t>2521  
27/07/13</t>
  </si>
  <si>
    <t>5829   
    06/09/13</t>
  </si>
  <si>
    <t>JOSE LUIS VELASCO MAYA</t>
  </si>
  <si>
    <t>3030
29/07/13</t>
  </si>
  <si>
    <t xml:space="preserve">15 DIAS </t>
  </si>
  <si>
    <t xml:space="preserve">SANDRA MONICA VALENCIA CAMARGO </t>
  </si>
  <si>
    <t xml:space="preserve">PRESTAR SERVCIOS PROFESIONALES COMO PROFESIONAL MASTER EN SISTEMAS DE INFORMACION GEOGRAFICOS PARA PARA SECRETARIS DE DESARROLLO AGROPECUARIO Y MINERO, EN DESARROLLO DEL FORTALECIMIENTO INSTITUCIONAL DE LA SECRETARIA DE DESARROLLO AGROPECUARIO Y FOMENTO ECONOMICO </t>
  </si>
  <si>
    <t>1257
16/11/13</t>
  </si>
  <si>
    <t>418
09/05/13</t>
  </si>
  <si>
    <t>ALEJANDRA JULIETH CASTRO</t>
  </si>
  <si>
    <t>PRESTACION DE SERVICIOS PROFESIONALES COMO ADMINISTRADORA DE EMPRESAS EN LA SECRETARIA DE DESARROLLO AGROPECUARIO Y FOMNTO ECONOMICO, EN DESARROLLO DEL PROYECTO: FORTALECIMIENTO INSTITUCIONAL DE LA SECRETARIA DE DESARROLLO AGROPECUARIO Y FOMENTO ECONOMICO</t>
  </si>
  <si>
    <t>1904
23/03/13</t>
  </si>
  <si>
    <t>3358
07/06/13</t>
  </si>
  <si>
    <t>488
07/06/13</t>
  </si>
  <si>
    <t>265
26/03/13</t>
  </si>
  <si>
    <t xml:space="preserve">JHONNY HUMBERTO EQUIZABAL ERAZO </t>
  </si>
  <si>
    <t xml:space="preserve">PRESTACION DE SERVICIOS PROFESIONALES COMO INGENIERO DE MINAS EN EL DESARROLLO DE ACTIVIDADES CONTEMPLADAS PARA EL SECTOR MINERO, EN EN EL PROYECTO FORTALECIMIENRO INSTITUCIONAL DE LA SDAFE EN PERSONA IDONEA PARA ATENDER LOS REQUERIMIENTOS EN EL SECTOR MINERO, SISTEMAS DE INFORMACION, MEDIO AMBIENTE Y OTROS REQUERIMIENTOS PROPIOS DE LA SECRETARIA </t>
  </si>
  <si>
    <t>969
12/03/13</t>
  </si>
  <si>
    <t>1593
01/04/13</t>
  </si>
  <si>
    <t>LIQUIDADO 
30/12/13</t>
  </si>
  <si>
    <t xml:space="preserve">HAROLD ANTONIO JIMENEZ PAZ </t>
  </si>
  <si>
    <t xml:space="preserve">PRESTACION DE SERVICIOS PROFESIONALES EN LA EJECUACION DEL PROYECTO: ORTALECIMIENTO INSTITUCIONAL DE LA SECRETARIA DE DESARROLLO AGROPECUARIO Y FOMENTO ECONOMICO DEL DEPARATAMENTO DEL CAUCA, EN PERSONAL IDONEO PARA ATNDER LOS REQUERIMIENTOS EN EL SECTOR MINERO, SISTEMAS DE INFORMACION, MEDIO AMBIENTE Y OTROS REQUERIMIENTOS PROPIAS DE LA SECRETARIA. </t>
  </si>
  <si>
    <t>970
12/03/13</t>
  </si>
  <si>
    <t>2433    
 02/05/13</t>
  </si>
  <si>
    <t>ASCOLMICAY</t>
  </si>
  <si>
    <t>489
07/06/13</t>
  </si>
  <si>
    <t xml:space="preserve">TIRSO EDUARDO FERNANDEZ FERNANDEZ </t>
  </si>
  <si>
    <t xml:space="preserve">PRESTAR SUS SERVICIOS COMO PROFESIONAL ZOOTECNISTA PARA LA SECRETARIA DE DESARROLLO AGROPECUARIO Y FOMENTO ECONOMICO, DENTRO DEL MARCO DEL PROYECTO: FORTALECIMIENTO INSTITUCIONAL DE LA SECRETARIA DE DESARROLLO AGROPECUARIO Y FOMENTO ECONOMICO </t>
  </si>
  <si>
    <t xml:space="preserve">6 MESES </t>
  </si>
  <si>
    <t>3357
07/06/13</t>
  </si>
  <si>
    <t>FORTALECIMIENRO INSTITUCIONAL DE LA SECRETARIA DE DESARROLLO AGROPECUARIO Y FOMENTO ECONOMICO</t>
  </si>
  <si>
    <t>2013-01900-0026
07-13-364</t>
  </si>
  <si>
    <t xml:space="preserve">LA SEGURIDAD ALIMENTARIA Y NUTRICIONAL UN PASO SEGURO DE LOS MUNICIPIOS DE BOLIVAR, LA VEGA, SANTA ROSA Y ALMAGUER EN EL DEPARTAMENTO DEL CAUCA, A TRAVES DE LA IMPLEMENTACION DE LA LINEA DE INTERVENCION RESA RURAL A FIN DE GENERR CONDICIONES QUE POSIBILITEN LA PRODUCCION DE ALIMENTOS PARA EL AUTO CONSUMO, FOMENTAR BUENOS HABITOS Y CONDICIONES ALIMENTARIAS SALUDABLES EN EL CONSUMO Y PROVEER EL USO DE ALIMENTOS Y PRODUCTOS LOCALES </t>
  </si>
  <si>
    <t>544
18/02/13</t>
  </si>
  <si>
    <t>5366
21/08/13</t>
  </si>
  <si>
    <t>EJECUCION</t>
  </si>
  <si>
    <t>2013-019000-0033 
01-13-345</t>
  </si>
  <si>
    <t xml:space="preserve">EL CONVENIO CUESTA 925596000 Y EL APORTE DEL DEPARTAMENTO ES 200000000.     FALTA CONTRATO DE ASOCOLMICAY Y DEL MUNICIPIO DE ALMAGUER </t>
  </si>
  <si>
    <t>240
20/03/2013</t>
  </si>
  <si>
    <t>CARLOS FELIPE URIBE</t>
  </si>
  <si>
    <t>5 MESES 15 DIAS</t>
  </si>
  <si>
    <t>20/O3/2013</t>
  </si>
  <si>
    <t>894
07/03/2013</t>
  </si>
  <si>
    <t>813
06/08/2013</t>
  </si>
  <si>
    <t>COORDINAR ACCIONES ENCAMINADAS A ACTUALIZAR Y GENERAR UN SISTEMA DE INFORMACION EN LOS TEMAS DE PRODUCCION Y NUTRICION PARA EL PROGRAMA PANES</t>
  </si>
  <si>
    <t>PRESTAR SERVICIOS PROFESIONALES COMO GEOGRAFO ESPECIALIZADO EN GERENCIA AMBIENTAL Y DESARROLLO SOSTENIBLE EMPRESARIAL PARA COORDINAR TODAS LAS ACCIONES ENCAMINADAS A ACTUALIZAR Y GENERAR UN SISTEMA D EINFORMACION EN LOS TEMAS DE PRODUCCION AGROPECUARIA Y DE NUTRICION PARA EL PROGRAMA PANES</t>
  </si>
  <si>
    <t>3 MESES 24 DIAS</t>
  </si>
  <si>
    <t>2518
27/07/2013</t>
  </si>
  <si>
    <t>5833
06/09/2013</t>
  </si>
  <si>
    <t>JULIAN HERNANDO RESTREPO
SUPERVISOR:
HERNANDO SANCHEZ
MemorandoNro.
011-2013
09/04/2013</t>
  </si>
  <si>
    <t>JULIAN HERNANDO RESTREPO
SUPERVISOR:
HERNANDO SANCHEZ
Memorando Nro.
039-13
30/09/2013</t>
  </si>
  <si>
    <t>845
06/09/2013</t>
  </si>
  <si>
    <t>CARLOS JULIO CAMPO SANCHEZ</t>
  </si>
  <si>
    <t>PRESTAR SERVICIOS PROFESIONALES COMO INGENIERO AGROINDUSTRIAL PARA REALIZAR ACTIVIDADES DE APOYO Y FORTALECIMIENTO AL COMPONENETE AGROINDUSTRIAL DEL PROGRAMA PANES</t>
  </si>
  <si>
    <t>3 MESES 19 DIAS</t>
  </si>
  <si>
    <t>2529
27/06/2013</t>
  </si>
  <si>
    <t>5946
27/06/2013</t>
  </si>
  <si>
    <t>711
12/08/2013</t>
  </si>
  <si>
    <t>PRESTAR SERVICIOS DE APOYO A A GESTION COMO TECNICO LABORATORISTA Y ANALISTA DE MUESTRAS DE SUELO EN LA SECRETARIA DE DESARROLLO AGROPECUARIO Y MINERO Y FOMENTO ECONOMICO, EN EL LABORATORIO DE SUELOS EN EL MARCO DEL PROYECTO FORTALECIMIENTO INSTITUCIONAL DE LA SDAFE DEL DEPARTAMENTO DEL CAUCA PARA FORTALECER PROCESOS EN EL SECTOR MINERO SISTEMA D EINFORMACION, MEDIO AMBIENTE Y OTROS REQUERIMIENTOS PROPIOS DE LA SECRETARIA</t>
  </si>
  <si>
    <t>4 MESES 19 DIAS</t>
  </si>
  <si>
    <t>3108
02/08/2013</t>
  </si>
  <si>
    <t>5154
12/08/2013</t>
  </si>
  <si>
    <t>ANIBAL MELO MARTINEZ 
SUPERVISOR:
VICENTE EMILIO GONZALEZ
Memorando Nro.
030
10/09/2013</t>
  </si>
  <si>
    <t>CONTRATACION DIRECTA 
El contrato presenta el Otrosi Nro.01 del 30/09/2013</t>
  </si>
  <si>
    <t>712
12/08/2013</t>
  </si>
  <si>
    <t>PRESTAR LOS SERVICIO PROFESIONALES COMO QUIMICA CON EXPERIENCIA ENMANEJO D SUELOS Y ANALISIS FISIOQUIMICOS EN LA SECRETARIA DE DESARROLLO AGROPECUARIO Y FOMENTO ECONOMICO DESDE EL LABORATORIO DE SUELOS EN EL MARCO DEL PROYECTO FORTALECIMIENTO INSTITUCIONAL DE LA SECRETARIA DE DESARROLLO AGROPECUARIO Y FOMENTO ECONOMICO DEL DEPARTAMENTO DEL CAUCA PARA FORTALECER PROCESOS EN EL SECTOR MINERO SISTEMAS DE INFORMACION, MEDIO AMBIENTE Y OTROS REQUERIMIENTOS PROPIOS DE LA SECRETARIA Y DESARROLLAR ACTIVIDADES CONFORME AESTUDIO PREVIO</t>
  </si>
  <si>
    <t xml:space="preserve">3109
02/08/2013
</t>
  </si>
  <si>
    <t>5155
12/08/2013</t>
  </si>
  <si>
    <t>713
12/08/2013</t>
  </si>
  <si>
    <t>CONTRATAR TECNICO PREOFESIONAL PARA EL LABORATORIO DE SUELOS EN EL MARCO DEL PROYECTO FORTALECIMIENTO INSTITUCIONAL DE LA SECRETARIA DE SARROLLO AGROPECUARIO Y FOMENTO ECONOMICO DEL DEPARTAMENTO DEL CAUCA PARA FORTALECER PROCESOS EN EL SECTOR MINERO, SISTEMAS DE INFORMACION, MEDIO AMBIENTE Y OTROS REQUERIMIENTOS PROPIOS DE LA SECRETARIA</t>
  </si>
  <si>
    <t>3107
02/08/2013</t>
  </si>
  <si>
    <t>5153
12/08/2013</t>
  </si>
  <si>
    <t>APOYO A LA ASISTENCIA TECNICA AGROPECUARIA A 7 LINEAS PRODUCTIVAS APROBADAS POR FINAGRO EN LOS MUNICIPIOS DEL CENTRO Y NORTE DEL DEPARTAMENTO DEL CAUCA</t>
  </si>
  <si>
    <t>Convenio
502
14/06/2013</t>
  </si>
  <si>
    <t>AMUNORCA</t>
  </si>
  <si>
    <t>AUNAR ESFUERZOS PARA LA EJECUCION DEL PLAN DE ASISTENCIA TECNICA AGROPECUARIA A SIETE LINEAS PRODUCTIVAS APROBADAS POR FINAGRO EN LOS MUNICIPIOS DEL NORTE DEL DEPARTAMENTO DEL CAUCA ENTRE LA ASOCIACION DE MUNICIPIOS DEL NORTE DEL CAUCA AMUNORCA Y LA GOBERNACION DEL CAUCA</t>
  </si>
  <si>
    <t>Vr. Total
316.800.000,00
Aporte de la Gobernaciòn:
31.535.000,00</t>
  </si>
  <si>
    <t>2252
13/06/2013</t>
  </si>
  <si>
    <t>3511
13/06/2013</t>
  </si>
  <si>
    <t>OSWALDO VALENCIA
Oficio Nro. 1500-199
18/06/2013</t>
  </si>
  <si>
    <t>Gobernacion: 31.535.000,00
AMUNORCA: 32.985.000
FINAGRO: 252.280.000
TOTAL: $ 316.800.000,00</t>
  </si>
  <si>
    <t>238
20/03/13</t>
  </si>
  <si>
    <t>SILVA ALEXANDRA LUNA MUÑOZ</t>
  </si>
  <si>
    <t>PRESTAR SERVICIOS PROFESIONALES EN EL DESARROLLO DEL PROGRAMA PANES EN SU COMPONENTE DE ADMINISTRACION Y PROMOCION. PARA GARANTIZAR SU BUENA MARCHA Y EJECUCIÓN.</t>
  </si>
  <si>
    <t>893
07/03/2013</t>
  </si>
  <si>
    <t>1404
20/02/2013</t>
  </si>
  <si>
    <t>FALTA SOPORTE DE PAGO DE DOS MESES MAYO-JUNIO</t>
  </si>
  <si>
    <t>LIQUIDADO
07/09/13</t>
  </si>
  <si>
    <t>HERNANDO SANCHAEZ 
MEMORANDO 
011-13
09704/13</t>
  </si>
  <si>
    <t>260
23/03/13</t>
  </si>
  <si>
    <t>896
07/03/13</t>
  </si>
  <si>
    <t>FALTA SOPORTE DE PAGO DE DOS MESES JUNIO_JULIO</t>
  </si>
  <si>
    <t>263
26/03/13</t>
  </si>
  <si>
    <t xml:space="preserve">ADELMO MASAGUEL DAVILA </t>
  </si>
  <si>
    <t xml:space="preserve">PRESTAR SERVICIOS TECNICOS COMO OPERARIO ENCAMINADO A REALIZAR TODAS LAS ACTIVIDADES PARA LA OPERACIÓN DE PLANTA PROCESADORA DE GRANOS Y SEMILLAS DEL PROGRAMA PANES, PARA LA PRODUCCION DE ALIMENTOS DE ALTO NIVEL NUTRICIONAL A BASE DE CEREALES PARA LA ATENCION DEL PROGRAMA PANES </t>
  </si>
  <si>
    <t>28703/13</t>
  </si>
  <si>
    <t>898
07/03/13</t>
  </si>
  <si>
    <t>1504
26/03/13</t>
  </si>
  <si>
    <t>1506
26/03/13</t>
  </si>
  <si>
    <t xml:space="preserve">889
 19/09/13
</t>
  </si>
  <si>
    <t xml:space="preserve">3 MESES 12 DIAS </t>
  </si>
  <si>
    <t>NO TIENES</t>
  </si>
  <si>
    <t>811 
06/09/13</t>
  </si>
  <si>
    <t xml:space="preserve">3 MESES 24 DIAS </t>
  </si>
  <si>
    <t>06709/13</t>
  </si>
  <si>
    <t>HERNANDO SANCHAEZ 
MEMORANDO 
042-13</t>
  </si>
  <si>
    <t>CONVENIO 106
739 
01/08/13</t>
  </si>
  <si>
    <t>487 
07/06/13</t>
  </si>
  <si>
    <t>ANDRES JOSE GOMEZ QUINTERO</t>
  </si>
  <si>
    <t xml:space="preserve">PRESTAR SERVICIOS PROFESIONALES COMO INGENIERO DE MINAS EN EL DESARROLLO DE ACTIVIDADES CONTEMPLADAS PARA EL SECTOR MINERO EN EL PROYECTO: "FORTALECIMIENTO INSTITUCIONAL EN LA SECRETARIA DE DESARROLLO AGROPECUARIO Y FOMENTO ECONOMICO DEL DEPARTAMENTO DEL CAUCA, EN PERSONAL IDONEO PARA ATENDER LOS REQUERIMIENTOS EN EL SECTOR MINERO, SISTEMA DE INFORMACION, MEDIO AMBIENTE Y OTROS EQUERIMIENTOS PROPIOS DE LA SECRETARIA </t>
  </si>
  <si>
    <t xml:space="preserve">6 MESES 15 DIAS </t>
  </si>
  <si>
    <t>07706/13</t>
  </si>
  <si>
    <t>2027
30/05/13</t>
  </si>
  <si>
    <t>3354
07/06/13</t>
  </si>
  <si>
    <t xml:space="preserve">viCENTE GONZALEZ 
MEMORANDO 024
05708/13 </t>
  </si>
  <si>
    <t xml:space="preserve">LOS RECIBOS DE SATISFACCION SON FIRMADOS POR HERNANDO SANCHEZ, NO SE ACLAR  LA SUPERVICION POR EL PERIODO DE VACACIONES </t>
  </si>
  <si>
    <t>553
27/06/2013</t>
  </si>
  <si>
    <t>YAMILE PALECHOR BRAVO</t>
  </si>
  <si>
    <t xml:space="preserve">LA CONTRATISTA SE OBLIGA  A PRESTAR SERVICIOS COMO ADMINISTRADORA DE EMPRESAS EN LA SECRETARIA DE DESARROLLO Y MINERO EN DESRROLLO DEL FORTALECIMIENTO INSTITUCIONAL EN LA SECRETARIA DE DESARROLLO AGROPECUARIO Y FOMENTO ECONOMICO </t>
  </si>
  <si>
    <t>VICENTE EMILIO GONZALES 
MEMORANDO 026-13</t>
  </si>
  <si>
    <t xml:space="preserve">NO APARECEN DOS PAGOS REPORTADOS </t>
  </si>
  <si>
    <t xml:space="preserve">1981 
28/05/13
</t>
  </si>
  <si>
    <t>HUGO HERNAN COLLAZOS 
MEMORANDO 027-13
05/08/13</t>
  </si>
  <si>
    <t>SIN CERTIFICADO DE DISPONIBILIDAD PRESUPUESTAL</t>
  </si>
  <si>
    <t>MANTENIMIENTO Y ADECUACION DE  LA PLANTA FISICA DE LA ASAMBLEA DEPARTAMENTAL</t>
  </si>
  <si>
    <t>REHABILITACION DE 10 VIAS TERCIARIAS EN 10 MUNICIPIOS DEL DEPARTAMENTO DEL CAUCA</t>
  </si>
  <si>
    <t>8 VIAS TERCIARIAS REHABILITADAS ( dado que hay un contrato suspendido) EN 10 MUNICIPIOS DEL DEPARTAMENTO DEL CAUCA</t>
  </si>
  <si>
    <t xml:space="preserve">SEGURIDAD VIAL </t>
  </si>
  <si>
    <t xml:space="preserve">ELABORACION DE ESTUDIOS DE PROYECTOS VIALES </t>
  </si>
  <si>
    <t>AGROPECUARIO</t>
  </si>
  <si>
    <t>ECONOMICO</t>
  </si>
  <si>
    <t xml:space="preserve">MODERNIZACION Y FORTALECIMIENTO INSTITUCIONAL </t>
  </si>
  <si>
    <t xml:space="preserve">SEGURIDAD ALIMENTARIA </t>
  </si>
  <si>
    <t>TURISMO</t>
  </si>
  <si>
    <t xml:space="preserve">CONSOLIDACION DE CADENAS PRODUCTIVAS PRIORIZADAS EN AGENDA INTERNA </t>
  </si>
  <si>
    <t>YEDILVER SANCHEZ RODRIGUEZ
MEMORANDO
005-2013</t>
  </si>
  <si>
    <t>NUBIA ROSA VARONA LOPEZ 
MEMORNDO 
010-2013</t>
  </si>
  <si>
    <t>NUBIA ROSA VARONA LOPEZ 
MEMORANDO  
017-2013</t>
  </si>
  <si>
    <t xml:space="preserve">MELBA ROCIO CRUZ SOLARTE 
MEMORANDO 
018-2013
</t>
  </si>
  <si>
    <t>ADRIANA CONSTANZA RAMOS CAICEDO 
MEMORANDO
 020-2013</t>
  </si>
  <si>
    <t xml:space="preserve">MELBA ROCIO CRUZ SOLARTE 
MEMORANDO 
020-2013
</t>
  </si>
  <si>
    <t>YEDILVER SANCHEZ RODRIGUEZ 
MEMORANDO 
023-2013</t>
  </si>
  <si>
    <t>YEDILVER SANCHEZ RODRIGUEZ 
MEMORANDO 
024-2013</t>
  </si>
  <si>
    <t>MILTON GUILLERMO MUÑOZ 
MEMORANDO 
037-2013</t>
  </si>
  <si>
    <t>SULMA NURY MOLANO
MEMORANDO 
048-2013</t>
  </si>
  <si>
    <t>NUBIA ROSA VARONA LOPEZ 
MEMORANDO 
049-2013</t>
  </si>
  <si>
    <t>YEDILVER SANCHEZ RODRIGUEZ 
MEMORANDO 
056-2013</t>
  </si>
  <si>
    <t xml:space="preserve">HENRY CUELLAR ANGEL
MEMORANDO 
057-2013
</t>
  </si>
  <si>
    <t>OSCAR IVAN MARTINEZ 
MEMORANDO 
071-2013</t>
  </si>
  <si>
    <t xml:space="preserve">ADRIANA CONSTANZA RAMOS 
MEMORANDO 
095-2013
</t>
  </si>
  <si>
    <t>ADRIANA CONSTANZA RAMOS 
MEMORANDO 
117-2013</t>
  </si>
  <si>
    <t>MILTON GUILLERMO MUÑOZ 
MEMORANDO 
116-2013</t>
  </si>
  <si>
    <t>ARNULFO ARIAS SAENZ 
MEMORANDO 
115-2013</t>
  </si>
  <si>
    <t>YEDILVER SANCHEZ RODRIGUEZ 
MEMORANDO 
114-2013</t>
  </si>
  <si>
    <t>HENRY CUELLAR ANGEL
MEMORANDO 
057-2013
MEMORANDO 
129-2013</t>
  </si>
  <si>
    <t>OSCAR IVAN MARTINEZ 
MEMORANDO 
167-2013</t>
  </si>
  <si>
    <t>400
 02/05/13</t>
  </si>
  <si>
    <t>INTERVENTOR: ANIBAL MELO MARTINEZ 
SUPERVISOR:VICENTE GONZALES 
MEMORANDO 010-2013</t>
  </si>
  <si>
    <t>VICENTE GONZALEZ 
MEMORANDO 018-2013
21/05/13</t>
  </si>
  <si>
    <t>HERNANDO SANCHEZ
MEMORANDO  011-2013
09/04/13</t>
  </si>
  <si>
    <t>INTERVENTOR: ANIBAL MELO MARTINEZ 
SUPERVISOR: HERNANDO SANCHEZ 
MEMORANDO 018-2013
21/05/13</t>
  </si>
  <si>
    <t>HERNANDO SANCHEZ 
MEMORANDO No: 032-2013
30/09/13</t>
  </si>
  <si>
    <t>HERNANDO SANCHEZ 
MEMORANDO No: 011-2013
09/04/13</t>
  </si>
  <si>
    <t>HERNANDO SANCHEZ 
MEMORANDO No: 039-2013
30/09/13</t>
  </si>
  <si>
    <t xml:space="preserve">INICIANDO </t>
  </si>
  <si>
    <t>CONSTRUCCION DE UN CENTRO DE DESARROLLO INFANTIL EN EL MUNICIPIO DE MERCADERES Y PUERTO TEJADACAUCA</t>
  </si>
  <si>
    <t>IINICIANDO</t>
  </si>
  <si>
    <t xml:space="preserve">REHABILITACION DE LA INFRAESTRUCTURA VIAL PUENTE PORTUGAL Y PUENTE LA ZATA EN LA CARRETERA EL ESTANQUILLO- LA FONDA MUNICIPIO DEL PATIA, DEPARATAMENTO DEL CAUCA. E INTERVENTORIA </t>
  </si>
  <si>
    <t>ESTUDIOS Y DISEÑOS COMPLEMENTARIOS PARA LA REHABILITACION DE LA PEQUEÑA CENTRAL HIDROELECTRICA (PCH) EL BUCO , MUNICIPIO DE PAEZ EN EL DEPARTAMENTO DEL CAUCA. E INTRVENTORIA</t>
  </si>
  <si>
    <t>5080
08/08/2013</t>
  </si>
  <si>
    <t>5531
28/08/2013</t>
  </si>
  <si>
    <t>5894
10/09/2013</t>
  </si>
  <si>
    <t>5943
12/09/2013
5944
12/09/2013</t>
  </si>
  <si>
    <t>7542
31/10/2013</t>
  </si>
  <si>
    <t>5953
13/09/2013</t>
  </si>
  <si>
    <t>6050
18/09/2013</t>
  </si>
  <si>
    <t>6040
17/09/2013</t>
  </si>
  <si>
    <t>5962
13/09/2013</t>
  </si>
  <si>
    <t>5961
13/09/2013</t>
  </si>
  <si>
    <t>5873
09/09/2013</t>
  </si>
  <si>
    <t>8982
16/12/2013</t>
  </si>
  <si>
    <t>122
  03/01/14                                                       Y                                              9735 
 27/12/13</t>
  </si>
  <si>
    <t>6552
04/10/2013</t>
  </si>
  <si>
    <t>1403
20/03/2013</t>
  </si>
  <si>
    <t>2348 
  30/04/13                        5762  
04/09/13</t>
  </si>
  <si>
    <t>2435
02/05/2013</t>
  </si>
  <si>
    <t>5429
23/08/2013</t>
  </si>
  <si>
    <t>4555
25/07/2013</t>
  </si>
  <si>
    <t>1505
26/03/2013</t>
  </si>
  <si>
    <t>8477
02/12/2013</t>
  </si>
  <si>
    <t>1406
20/03/2013</t>
  </si>
  <si>
    <t>6179
23/09/2013</t>
  </si>
  <si>
    <t>FORTALECIMIENTO DEL SECTOR AGROPECUARIO Y DE LAS CAPACIDADES SOCIOEMPRESARIALES DE 34 FAMILIAS DEL RESGUARDO INDIGENA DE MOSOCO, CENTRO SANTA MARTA, ESCALERETA DEL RESGUARDO INDIGENA DE MOSOCO MUNICIPIO DE PAEZ-CAUCA</t>
  </si>
  <si>
    <t>Convenio
1169
08/11/2013</t>
  </si>
  <si>
    <t>CABILDO INDIGENA DE MOSOCO
MUNICIPIO DE PAEZ</t>
  </si>
  <si>
    <t>ADMINISTRAR EL CABILDO DE MOSOCO, LOS RECURSOS APORTADOS EN ESTE CONVENIO, PARA LA EJECUCIÓN DEL PROYECTO "FORTALECIMIENTO DEL SECTOR AGROPECUARIO Y DE LAS CAPACIDADES SOCIO EMPRESARIALES EN LAS FAMILIAS DEL RESGUARDO INDIGENA DE MOSCO</t>
  </si>
  <si>
    <t>Vr. Total
$ 257.405.600,00
Aporte de la Gobernaciòn:
$ 94.040.000,00</t>
  </si>
  <si>
    <t>5 MESES, 15 DÍAS
(Adic. # 2)</t>
  </si>
  <si>
    <t>3374
16/08/2013</t>
  </si>
  <si>
    <t>7829
08/11/2013</t>
  </si>
  <si>
    <t>ANIBAL MELO MARTINEZ
Cláusula Novena Convenio 1169/2013</t>
  </si>
  <si>
    <t xml:space="preserve">Gobernacion: $   94.040.000,00
Cabildo:            $    83.049.853,00
Comunidad:     $    80.315.600,00
TOTAL:                 $   257.405.453,00
DIFERENCIA       $                   147,00
</t>
  </si>
  <si>
    <t xml:space="preserve"> CORPORACION MIXTA DE TURISMO DEL DEPARTAMENTO DEL CAUCA </t>
  </si>
  <si>
    <t>2012-001900-0048
07-13-410</t>
  </si>
  <si>
    <t>2013-01900-0080
  07-13-566</t>
  </si>
  <si>
    <t>2013-019000-0056
01-13-477</t>
  </si>
  <si>
    <t>2013-019000-0066
01-13-462</t>
  </si>
  <si>
    <t xml:space="preserve">POR SITUACIONES ADMINISTRATIVAS NO SE PUDO LLEVAR ACABO. EN EL AÑO 2012 SE PIDIERON RECURSOS Y SE CANCELO  LA DISPONIBILIDAD  PRESUPUESTAL. EN EL AÑO 2013 SE VOLVIERON A PEDIR RECURSOS Y EL PROYECTO NO SE AJUSTO.
HASTA LA FECHA SOLO SE HA EXPEDIDO CDP  </t>
  </si>
  <si>
    <t>MUNICIPO DE BOLIVAR CAUCA</t>
  </si>
  <si>
    <t>No</t>
  </si>
  <si>
    <t>OBRAS DE EMERGENCIA EN LA VIA 31CC04  CRUCE RUTA 3105  PADILLA PR3+1755, SECTOR EL BARRANCO PARA LA REALIZACION OBRAS DE PROTECCION  Y CONTENCION EN EL MUNICIPIO DE CORINTO CAUCA</t>
  </si>
  <si>
    <t xml:space="preserve">INCUMPLIMIENTO DEL TIEMPO DE ENTREGA FINAL </t>
  </si>
  <si>
    <t xml:space="preserve">LIQUIDADO
31/12/13
SALDO POR EJECUTAR </t>
  </si>
  <si>
    <t xml:space="preserve">LIQUIDADO
 31/12/13                                                       
 SALDO PARA EJECUTAR 
</t>
  </si>
  <si>
    <t xml:space="preserve">LIQUIDADO 
31/12/13
SALDO PARA EJECUTAR </t>
  </si>
  <si>
    <t xml:space="preserve">LIQUIDADO
11/12/13
SALDOPARA EJECUTAR </t>
  </si>
  <si>
    <t>LIQUIDADO   
31/12/13
SALDO POR EJECUTAR  3640000</t>
  </si>
  <si>
    <t xml:space="preserve">PAGO POR SERVICIOS PROFESIONALES Y COMPRA DE 5 COMPUTADORES PORTATILES, 10 COMPUTADORES DE ESCRITORIO, 5 IMPRESORAS MULTIFUNCIONALES SISTEMA CONTINUO DE TINTA, 2 ESCANERS PARA HOJA TAMAÑO OFICIO, 4 CAMARAS FOTOGRAFICAS DIGITALES CON DESTINO A LA SECRETARIA DE INFRAESTRUCTURA </t>
  </si>
  <si>
    <t xml:space="preserve">ADECUACION Y MANTENIMIENTO DE LA PLANTA FISICA DE LA ASAMBLEA DEPARTAMENTAL DEL CAUCA  Y INTERVENTORIA TECNICA, ADMINISTRATIVA , FINANCIERA, JURIDICA Y CONTABLE </t>
  </si>
  <si>
    <t xml:space="preserve">HASTA LA FECHA SOLO SE HA EXPEDIDO CDP  </t>
  </si>
  <si>
    <t>PAGO POR PRESTACION DE SERVICIOS  PARA LA SECRETARIA DE DESARROLLO AGROPECUARIO Y FOMENTO ECONOMICO</t>
  </si>
  <si>
    <t xml:space="preserve">PAGO POR PRESTACION DESERVICIOS PROFESIONALES DEL PROGRAMA DE NUTRICION Y ALIMENTACION ESCOLAR-PANES DEL DEPARTAMENTO DEL CAUCA </t>
  </si>
  <si>
    <t>ESTUDIOS Y DISEÑO PARA MEJORAMIENTO Y/O CONSTRUCCION DE PAVIMENTOS DE ANILLOS VIALES EN MUNICIPIOS DEL NORTE DEL DEPARTAMENTO DEL CAUCA</t>
  </si>
  <si>
    <t>Convenio Interadministrativo</t>
  </si>
  <si>
    <t>OSCAR IVAN MARTINEZ
Memorando Nro. 0168-2013</t>
  </si>
  <si>
    <t>JAIR LOPEZ ROJAS</t>
  </si>
  <si>
    <t>CONSORCIO SY Q INGENIERIA
R.L GUIOVANY SERNA RIVAS</t>
  </si>
  <si>
    <t>1471            18/04/13</t>
  </si>
  <si>
    <t>1401                20/03/13
8208
26/11/13</t>
  </si>
  <si>
    <t>931                         08/03/13
  Y
 4952  
21/11/13</t>
  </si>
  <si>
    <t>1455
22/03/2013
8212
26/11/2013</t>
  </si>
  <si>
    <t>879             06/03/13
2374
04/09/2013</t>
  </si>
  <si>
    <t>8918                                               13/12/13
5428
23/08//2013</t>
  </si>
  <si>
    <t>2579            02/033617/13
 Y 
 5199   
04/12/13</t>
  </si>
  <si>
    <t>225  15/03/2013</t>
  </si>
  <si>
    <t>248                  22/03/2013</t>
  </si>
  <si>
    <t xml:space="preserve">   
SALDO POR EJECUTAR 145250</t>
  </si>
  <si>
    <t>5960
13/09/2013
8574
04/12/2013</t>
  </si>
  <si>
    <t>2605
02/06/2013
5054
27/11/2013</t>
  </si>
  <si>
    <t>6052
18/09/2013
6053
18/09/2013</t>
  </si>
  <si>
    <t>7299
25/10/2013</t>
  </si>
  <si>
    <t>9030  
 17/12/13                                        Y                                               2643  
14/05/2013</t>
  </si>
  <si>
    <t>782   03/01/14                        Y                                4505       28/10/2013</t>
  </si>
  <si>
    <t>1988
28/05/2013</t>
  </si>
  <si>
    <t>4804
01/08/2013</t>
  </si>
  <si>
    <t>4920
06/08/2013
8605
05/12/2013</t>
  </si>
  <si>
    <t xml:space="preserve">4027
01/10/13
1440 
17/04/13
</t>
  </si>
  <si>
    <t>7301
25/10/13
2581
08/05/2013</t>
  </si>
  <si>
    <t>934            08/03/13
4955
21/11/2013</t>
  </si>
  <si>
    <t>1459
22/03/2013
8211
26/11/2013</t>
  </si>
  <si>
    <t>933
08/03/2013
4953
21/11/2013</t>
  </si>
  <si>
    <t>254 
22/03/13</t>
  </si>
  <si>
    <t>928
 08/03/13
4951
21/11/13</t>
  </si>
  <si>
    <t>1303
15/03/2013
8213
26/11/13</t>
  </si>
  <si>
    <t>930
08/03/13
4956
21/11/13</t>
  </si>
  <si>
    <t>1402 
 20/03/13
8209
26/11/13</t>
  </si>
  <si>
    <t>1943
15/04/13
8210
26/11/13</t>
  </si>
  <si>
    <t>241
 20/03/13</t>
  </si>
  <si>
    <t>104
  04/02/13</t>
  </si>
  <si>
    <t>932       
08/03/13
4772  
 08/11/13</t>
  </si>
  <si>
    <t>1290  
 14/03/13
7775
08/11/13</t>
  </si>
  <si>
    <t>INCUMPLIMIENTO</t>
  </si>
  <si>
    <t xml:space="preserve"> ESTUDIOS DISEÑOS Y PRESUPUESTOS REQUERIDOS PARA LA ADECUACION DE LA PLANTA FISICA Y EL MANTENIMIENTO DE LAS INSTALACIONES DEL EDIFICIO DE LA GOBERNACION DEL CAUCA UBICADO EN LA CALLE 5 NRO. 9-1, REALIZADOS</t>
  </si>
  <si>
    <t xml:space="preserve">DOTACION DE LABORATORIO DE SUELOS AGRICOLAS DE LA GOBERNACION DEL CAUCA DE UN ESPECTROMETRO DE ULTIMA TECNOLOGIA </t>
  </si>
  <si>
    <t xml:space="preserve">   </t>
  </si>
  <si>
    <t>JULIAN ANDRES MUÑOZ IMBACHI
con cesión a nombre de ROSANIA DEL SOCORRO G.</t>
  </si>
  <si>
    <t>929             08/03/13
5090
02/12/13</t>
  </si>
  <si>
    <t>2727              16/05/13
8482
02/12/13</t>
  </si>
  <si>
    <t>1137 
 31/03/13
4954
21/11/13</t>
  </si>
  <si>
    <t>2526 
28/06/13</t>
  </si>
  <si>
    <t>5834 
06/09/13</t>
  </si>
  <si>
    <t>2516  
27/06/13</t>
  </si>
  <si>
    <t>6082
19/09/13</t>
  </si>
  <si>
    <t>3 Meses</t>
  </si>
  <si>
    <t>3Meses</t>
  </si>
  <si>
    <t>1981
28/05/13</t>
  </si>
  <si>
    <t>2202
06/06/13</t>
  </si>
  <si>
    <t xml:space="preserve">3957
28/198106/13
</t>
  </si>
  <si>
    <t>3357  
07/06/13</t>
  </si>
  <si>
    <t xml:space="preserve">489 07/06/13
</t>
  </si>
  <si>
    <t>VIAS ENTREGADAS 2,  EN EJECUCIÓN 2,  TERMINADAS EN PROCESO DE ENTREGA 7</t>
  </si>
  <si>
    <t xml:space="preserve"> EJECUCION DEL PLAN DE ASISTENCIA TECNICA AGROPECUARIA A SIETE LINEAS PRODUCTIVAS APROBADAS POR FINAGRO EN LOS MUNICIPIOS DEL NORTE DEL DEPARTAMENTO DEL CAUCA ENTRE LA ASOCIACION DE MUNICIPIOS DEL NORTE DEL CAUCA AMUNORCA Y LA GOBERNACION DEL CAUCA</t>
  </si>
  <si>
    <t>ADMINISTRACION DE LOS RECURSOS APORTADOS EN ESTE CONVENIO, PARA LA EJECUCIÓN DEL PROYECTO "FORTALECIMIENTO DEL SECTOR AGROPECUARIO Y DE LAS CAPACIDADES SOCIO EMPRESARIALES EN LAS FAMILIAS DEL RESGUARDO INDIGENA DE MOSCO</t>
  </si>
  <si>
    <t>2013-019000-0059
07-13-457</t>
  </si>
  <si>
    <t>UN CAMPO CON ENERGIA</t>
  </si>
  <si>
    <t>2013-019000-0051
05-13-460</t>
  </si>
  <si>
    <t>CONTRATO 
No</t>
  </si>
  <si>
    <t>AVANCE 
%
 FISICO</t>
  </si>
  <si>
    <t>AVANCE 
%
 FINANCIERO</t>
  </si>
  <si>
    <t xml:space="preserve">PORCENTAJE TOTAL </t>
  </si>
  <si>
    <t xml:space="preserve">INTERVENTORIA TECNICA, ADMINISTRATIVA, FINANCIERA, JURIDICA Y CONTROL DE CALIDAD A LOS ESTUDIOS Y DISEÑOS COMPLEMENTARIOS PARA LA REHABILITACION DE LA PEQUEÑA CENTRAL HIDROELECTRICA (PCH) EL BUCO, MUNICIPIO DE PAEZ EN EL DEPARTAMENTO DEL CAUCA </t>
  </si>
  <si>
    <t>PORCENTAJE TOTAL</t>
  </si>
  <si>
    <t xml:space="preserve">FORTALECIMIENTO DEL PROGRAMA ADULTO MAYOR " VIEJOS EN EXPERIENCIA JOVENES DE CORAZON " EN EL DEPARTAMENTO DEL CAUCA " </t>
  </si>
  <si>
    <t>2013-019000-0060
14-13-507</t>
  </si>
  <si>
    <t xml:space="preserve">651
31/07/2013
</t>
  </si>
  <si>
    <t xml:space="preserve">JESUS ENRIQUE PEREZ </t>
  </si>
  <si>
    <t xml:space="preserve">PRESTAR LOS SERVICIOS PROFESIONALES COMO GERONTOLOGO PARA LA EJECUCION DEL PROYECTO: FORTALECIMIENTO DEL PROGRAMA ADULTO MAYOR " VIEJOS EN EXPERIENCIA JOVENES DE CORAZON " EN EL DEPARTAMENTO DEL CAUCA " </t>
  </si>
  <si>
    <t xml:space="preserve">5 MESES </t>
  </si>
  <si>
    <t xml:space="preserve">2684
08/07/13
</t>
  </si>
  <si>
    <t>4715
31/07/13</t>
  </si>
  <si>
    <t xml:space="preserve">LEOVIGILDO MOSQUERA MEDINA </t>
  </si>
  <si>
    <t xml:space="preserve">1.CONVOCOTARIA REUNION CONSEJO DEPARTAMENTAL
2. APOYO A LA OPERATIVIZACION DER EL COMITÉ DE ADULTO MAYOR (PADILLA,  PAEZ,  SUCRE,  PUERTO TEJADA ,  SILVIA,  MERCADERES , PIENDAMO, LA VEGA, ALMAGUER)
3. TALLER SOBRE POLITICA PUBLICA PARA EL ADULTO MAYOR DEL DEPARTAMENTO (MERCADERES, ALMAGUER, BOLIVAR )
4. TALLER SOBRE ABUSO Y MALTRATO SOBRE LA VEJEZ (MORALES, CALDONO)
5. REALIZACION DE ENCUENTRO INTERGENERACIONAL (PIENDAMO)
6. MESA DE TRABAJO SOBRE PROTECCION SOCIAL INTEGRAL CON PERSONAS MAYORES (BOLIVAR)
</t>
  </si>
  <si>
    <t xml:space="preserve">1345
26/12/13
</t>
  </si>
  <si>
    <t xml:space="preserve">YACQUELINE ORDOÑEZ HERNANDEZ </t>
  </si>
  <si>
    <t xml:space="preserve">CONTRATAR EL SUMINISTRO DE EQUIPOS DE COMPUTO, MESAS Y SILLAS PARA LA EJECUCION DEL  PROYECTO: FORTALECIMIENTO DEL PROGRAMA ADULTO MAYOR " VIEJOS EN EXPERIENCIA JOVENES DE CORAZON " EN EL DEPARTAMENTO DEL CAUCA "  EN EL DEPARTAMENTO DEL CAUCA Y DOS (2) PORTATILES Y UNA (1) IMPRESORA MULTIUSOS PARA EL PROGRAMA DE DERECHOS HUMANOS Y DERECHO INTERNACIONAL HUMANITARIO DE CONFORMIDAD CON LAS ESPECIFICACIONES TECNICAS REQUERIDAS CON LA ENTIDAD </t>
  </si>
  <si>
    <t>2988
26/07/13
3584
04/09/13</t>
  </si>
  <si>
    <t>SUMINISTRO DE EQUIPOS DE COMPUTO, MESAS Y SILLAS. 2 PORTATILES Y 1 IMPRESORA MULTIUSOS</t>
  </si>
  <si>
    <t xml:space="preserve">LEYDI DAYANA DIAZ </t>
  </si>
  <si>
    <t xml:space="preserve">CONTRATAR EL SUMINISTRO DE KITS DEPORTIVOS Y MATERIAL DIDACTICO S PARA LA EJECUCION DEL  PROYECTO: FORTALECIMIENTO DEL PROGRAMA ADULTO MAYOR " VIEJOS EN EXPERIENCIA JOVENES DE CORAZON " EN EL DEPARTAMENTO DEL CAUCA " CONFORMIDAD A LOS REQUERIMIENTOS DE LA ENTIDAD Y PROPUESTA PRESENTADA POR EL CONTRATISTA </t>
  </si>
  <si>
    <t>4450
25/10/13</t>
  </si>
  <si>
    <t>8137
20/11/13</t>
  </si>
  <si>
    <t xml:space="preserve">CONTRATAR APOYO LOGISTICO PARA LA EJECUCION DEL PROYECTO: FORTALECIMIENTO DEL PROGRAMA ADULTO MAYOR " VIEJOS EN EXPERIENCIA JOVENES DE CORAZON " EN EL DEPARTAMENTO DEL CAUCA " EN EL DEPARTAMENTO DEL CAUCA </t>
  </si>
  <si>
    <t>4449
25/10/13</t>
  </si>
  <si>
    <t>8136
20/11/13</t>
  </si>
  <si>
    <t>1219
20/11/13</t>
  </si>
  <si>
    <t xml:space="preserve">1220
20/11/13
</t>
  </si>
  <si>
    <t xml:space="preserve">FUNDACION PROGRESO Y SALUD </t>
  </si>
  <si>
    <t>NO APARECE REPORTE DEL PAGO 1 Y 5</t>
  </si>
  <si>
    <t xml:space="preserve"> NO TINENE CONTRATO SINO CARTA DE ACEPTACION DE LA OFERTA. LOS PAGOS SE REPORTAN POR RECIBO DE SATISFACCFION</t>
  </si>
  <si>
    <t xml:space="preserve">SUMINISTRO DE KITS DEPORTIVOS Y MATERIAL DIDACTICO. INSTRUCTOR ACTIVIDAD FUSICA Y RECREACION  EN LOS MUNICIPIOS DE PAEZ, TIMBIO, BOLIVAR, PIENDAMO,  MERCADERES,  MORALES, ALMAGUER Y CALDONO. </t>
  </si>
  <si>
    <t>LOGISTICA</t>
  </si>
  <si>
    <t xml:space="preserve">VIEJOS EN EXPERIENCIA, JOVENES DE CORAZON </t>
  </si>
  <si>
    <t xml:space="preserve">1.CUENTAME UN CUENTO Y COMPARTE CONMIGO 
2. ESCUCHA MI VOZ 
3. CENTROS DE VIDA 
4. ACTUALIZATE E INFORMATE 
5. ROMPRE LAS BARRERAS Y DALE RITMO A LA SALUD 
</t>
  </si>
  <si>
    <t xml:space="preserve">1-EXISTIMOS TODAS Y TODOS CON FAMILIA
2-PARTICIPEMOS A LA CONQUISTA DE ESPACIOS SOCIALES.
3-PROTEGIDOS NINGUNO VIOLENTADO
4-PROTEGIDOS YO RESPETO LA LEY.
</t>
  </si>
  <si>
    <t>IMPLEMENTACION DE ACCIONES PARA EL FORTALECIMIENTO DEL PROYECTO PARA LA INFANCIA Y ADOLECENCIA EN EL DEPARTAMENTO, CAUCA, OCCIDENTE</t>
  </si>
  <si>
    <t>941
02/10/2013</t>
  </si>
  <si>
    <t xml:space="preserve">MIRNA ASTRID CUELLAR ANGEL </t>
  </si>
  <si>
    <t>PRESTAR SERVICIOS PROFESIONALES COMO COORDINADORA EN LA EJECUACION DEL PROYECTO: IMPLEMENTACION DE ACCIONES PARA EL FORTALECIMIENTO DEL PROYECTO PARA LA INFANCIA Y ADOLECENCIA EN EL DEPARTAMENTO, CAUCA, OCCIDENTE</t>
  </si>
  <si>
    <t>3681
11/09/13
3861
20/09/13</t>
  </si>
  <si>
    <t>6517
02/10/13
6516
02/10/13</t>
  </si>
  <si>
    <t>EDIT PATRICIA BERMUDEZ MENESES</t>
  </si>
  <si>
    <t xml:space="preserve">1. REALIZACION DEL CONSEJO DE POLITICA SOCIAL
2. REVISION Y AJUSTE DE ACTUALIZACION EN LA CONFORMACION Y OPERATIVIZACION DEL CONSEJO DE POLITICA SOCIAL DEPARTAMENTAL
3. SESIONES DE LA MESA DE INFANCIA Y ADOLECENCIA DEPARTAMENTAL 
4. INFORME A LA ASAMBLEA DEPARTAMENTAL DEL CAUCA SOBRE INFANCIA Y ADOLECENCIA 
5. REALIZACION DE SESIONES INTERINSTITUCIONALES DE ACOMPAÑAMIENTO Y SEGUIMIENTO A LA FORMULACION DE LA POLITICA PUBLICA DE INFANCIA Y ADOLECENCIA EN EL DEPARTAMENTO 
6. ARTICULACION Y CONCERTACION DE LOS PROGRAMAS DE INFANCIA Y ADOLENCENCIA EN EL ENTE TERRITORIAL CON ENTIDADES NACIONALES, DEPARTAMENTALES Y DE COOPERACION. 
7. SEGUIMIENTO Y ARTICULACION A LA ORGANIZACION Y MONTALE INSTITUCIONALES DEL PROYECTO: IMPLEMENTACION DE ACCIONES PARA EL FORTALECIMIENTO DEL PROYECTO PARA LA INFANCIA Y ADOLECENCIA EN EL DEPARTAMENTO, CAUCA
8.  SEGUIMIENTO A LA PROMOCION DEL PROYECTO INDICADO CONSTATANDO LA DIVULGACION Y CONVOCATORIA A LA COMUNIDAD 
9.  ACOMPAÑAMIENTO, ARTICULACION Y SEGUIMIENTO AL PROCFESO DE CAPACITACION  A TRAVES DE LA SOCIALIZACION DEL PROYECTO.
10. ELABORACION DE INFORMES Y DOCUMENTOS PARA LA SUTENTACION DE LOS PROGRAMAS DE INFANCIA Y ADOLECENCIA DEL DEPARATAMENTO </t>
  </si>
  <si>
    <t xml:space="preserve">SOCIAL </t>
  </si>
  <si>
    <t>PRIMERA INFANCIA, INFANCIA Y ADOLESCENCIA "SOMOS PRESENTE, NOS PROYECTAMOS SIEMPRE"</t>
  </si>
  <si>
    <t>2013-019000-0086
14-13-548</t>
  </si>
  <si>
    <t xml:space="preserve">FUNDACIÓN PROGRESO Y SALUD
R.L. LEYDI DAYANA DIAZ GOMEZ </t>
  </si>
  <si>
    <t>EL CONTRATISTA SE OBLIGA A PRESTAR SUS SERVICIOS PARA EJECUTAR EL COMPONENTE DE CAPACITACIÓN DEL PROYECTO" IMPLEMENTACIÓN DE ACCIONES PARA EL FORTALECIMIENTO DEL PROYECTO PARA LA INFANCIA Y ADOLESCENCIA EN EL DEPARTAMENTO DEL CAUCA", CONSISTE EN BRINDAR TALLERES DE CAPACITACIÓN EN TEMAS INHERENTES A LOS PROGRAMAS EXISTIMOS TODOS Y TODAS CON FAMILIA, PARTICIPEMOS A LA CONQUISTA DE ESCENARIOS SOCIALES, PROTEGIDOS, NINGUNO VIOLENTADO Y PROTEGIDOS, YO RESPETO LA LEY, CONFORME AL PROYECTO ESCRITO Y VIABILIAZADO.</t>
  </si>
  <si>
    <t>$ 95,879,981</t>
  </si>
  <si>
    <t>2MESES</t>
  </si>
  <si>
    <t>4139
04/1013</t>
  </si>
  <si>
    <t>7552
04/10/13</t>
  </si>
  <si>
    <t>JOSE ORLANDO MUÑOZ ARIAS</t>
  </si>
  <si>
    <t>COMPONENTE DE CAPACITACIÓN DESARROLLADO</t>
  </si>
  <si>
    <t>DESARROLLAR COMPONENTE DE CAPACITACIÓN DEL PROYECTO BRINDANDO TALLERES DE CAPACITACIÓN EN TEMAS INHERENTES A LOS PROGRAMAS</t>
  </si>
  <si>
    <t>1053
31/10/13</t>
  </si>
  <si>
    <t>515
18/06/2013</t>
  </si>
  <si>
    <t>LA CONTRATISTA SE OBLIGA A PRESTAR SUS SERVICIOS PROFESIONALES PARA LA REALIZACIÓN DEL SEGUNDO CONSEJO DE POLITICA SOCIAL VIGENCIA 2013 Y  ACOMPAÑAMIENTO A LA ADMINISTRACIÓN DEPARTAMENTAL DEL CAUCA EN EL MARCO DE LA POLITICA PUBLICA DE INFANCIA Y ADOLESCENCIA Y EL ESTATUTO JUVENIL</t>
  </si>
  <si>
    <t>S/CDP</t>
  </si>
  <si>
    <t>S/R</t>
  </si>
  <si>
    <t>EDITH PATRICIA BERMUDEZ MENESES</t>
  </si>
  <si>
    <t>SEGUNDA SESIÓN CONSEJO POLITICA SOCIAL DEPARTAMENTO DEL CAUCA, REVISIÓN DEL ACTA DEL PRIMER CONSEJO DE POLITICA SOCIAL, COORDINACIÓN DE LOS PROGRAMAS DE INFANCIA, ADOLESCENCIA Y JUVENTUD; ACOMPAÑAMIENTO Y ASISTENCIA PARA LA REALIZACIÓN DEL SEGUNDO  CONSEJO DE POLITICA SOCIAL 2013; FORTALECIMIENTO DE LA CONCERTACIÓN Y COORDINACIÓN CON EL ICBF Y DEMAS ENTIDADES PARA AVANZAR EN LA IMPLEMENTACIÓN DE LOS PROGRAMAS EN LA ATENCIÓN INTEGRAL DE NIÑOS ADOLESCENTES Y JOVENES</t>
  </si>
  <si>
    <t>140
20/02/2013</t>
  </si>
  <si>
    <t>LA CONTRATISTA SE OBLIGA A PRESTAR SUS SERVICIOS PROFESIONALES PARA REALIZAR EL ACOMPAÑAMIENTO, FORTALECIMIENTO Y APOYO A LA GESTIÓN DE LOS PROCESOS DE ARTICULACIÓN DE LOS PROGRAMAS ESTABLECIDOS EN EL COMPONENTE DE INFANCIA, ADOLESCENCIA Y COMPONENTE JUVENTUD, Y EN EL DESARROLLO DE LOS CONSEJOS DE POLITICA SOCIAL DEL EJE SOCIAL DEL PDD 2012-2015, "CAUCA TODAS LAS OPORTUNIDADES", FORTALECER Y ACOMPAÑAR A LA ADMINISTRACIÓN DEPARTAMENTAL EN EL DESARROLLO DE LOS CONSEJOS DE POLITICA SOCIAL</t>
  </si>
  <si>
    <t>356
05/02/2013</t>
  </si>
  <si>
    <t>763
20/02/2013</t>
  </si>
  <si>
    <t>JORGE GRUESO ZUÑIGA</t>
  </si>
  <si>
    <t>REUNIONES EFECTUADAS Y ENTREGA DE REGISTROS FOTOGRAFICOS, INFORMES Y LISTADOS DE ASISTENCIA; ACOMPAÑAMIENTO AL EVENTO DE SENSIBILIZACIÓN SOBRE ATENCIÓN A LA POBLACIÓN CON DISCAPACIDAD</t>
  </si>
  <si>
    <t>ACOMPAÑAMIENTO, FORTALECIMIENTO Y APOYO A LA GESTIÓN, EN LOS PROCESOS DE ARTICULACIÓN DE LOS PROGRAMAS ESTABLECIDOS EN EL COMPONENTE DE INFANCIA, ADOLESCENCIA Y EL COMPONENTE JUVENTUD; EFECTUAR REUNIONES EN DESARROLLO DEL CONSEJO DE POLITICA SOCIAL; ACOMPAÑAR EVENTO DE SENSIBILIZACIÓN SOBRE ATENCIÓN A LA POBLACIÓN CON DISCAPACIDAD</t>
  </si>
  <si>
    <t>EQUIDAD DE GENEROS</t>
  </si>
  <si>
    <t>EQUIDAD SIN ETIQUETAS</t>
  </si>
  <si>
    <t>CONFORMACIÓN DE LA MESA DE DIVERSIDAD SEXUAL PARA LA GARANTIA  Y RECONOCIMIENTO DE DERECHOS DE LA POBLACIÓN DE LESBIANAS, GAYS, POPAYAN CAUCA</t>
  </si>
  <si>
    <t xml:space="preserve">2013-0019000-0112
07-13-605
</t>
  </si>
  <si>
    <t>1259
02/12/2013</t>
  </si>
  <si>
    <t>FRANCY LIBRADA JARAMILLO PIEDRAHITA</t>
  </si>
  <si>
    <t>PRESTAR SERVICIOS PROFESIONALES PARA LA CONFORMACIÓN DE LA MESA DE DIVERSIDAD SEXUAL PARA LA GARANTÍA Y RECONOCIMIENTO DE DERECHOS DE LA POBLACIÓN DE LESBIANAS, GAYS, BISEXUALES Y PERSONAS TRANSEXUALES EN EL CAUCA</t>
  </si>
  <si>
    <t>29 DIAS</t>
  </si>
  <si>
    <t>4415
05/10/2013</t>
  </si>
  <si>
    <t>8475
02/12/2013</t>
  </si>
  <si>
    <t>LEOVIGILDO MOSQUERA</t>
  </si>
  <si>
    <t>ERROR EN LA FECHA REAL DE INICIO EN LETRAS APARECE VEINTE Y EN NUMEROS 02, SIN EMBARGO LAS ACTIVIDADES INICIAN DESDE EL DÍA 02</t>
  </si>
  <si>
    <t>PLAN DE TRABAJO DISEÑADO Y CRONOGRAMA DE ACTIVIDADES</t>
  </si>
  <si>
    <t>CONFORMACIÓN MESA DIVERSIDAD SEXUAL EFECTUADA; CAPACITACIONES, ELECCIÓN DE REPRESENTANTE CONSEJO ASESOR REALIZADA; CONSTRUCCIÓN MATRIZ DE SEGUIMIENTO INFORME DE REUNIONES</t>
  </si>
  <si>
    <t>GERENCIA SOCIAL</t>
  </si>
  <si>
    <t>ORGANIZACIÓN DE LA ESTRUCTURA DEL OBSERVATORIO SOCIAL PARA EL DEPARTAMENTO DEL CAUCA</t>
  </si>
  <si>
    <t>07/11/228</t>
  </si>
  <si>
    <t xml:space="preserve">852/11
</t>
  </si>
  <si>
    <t>ANDRES FELIPE CASTRO LOPEZ</t>
  </si>
  <si>
    <t>EL CONSTRATISTA SE OBLIGA CON LA ORGANIZACIÓN DE LA ESTRUCTURA DEL OBSERVATORIO SOCIAL PARA EL DEPARTAMENTO DEL CAUCA</t>
  </si>
  <si>
    <t>3754
31/10/2011</t>
  </si>
  <si>
    <t>7250
17/11/2011</t>
  </si>
  <si>
    <t>TRAMITE ADNMINISTRATIVO POR COBRO JUDICIAL</t>
  </si>
  <si>
    <t>NANCY GENARA MUÑOZ</t>
  </si>
  <si>
    <t>EL CONTRATISTA SOLO EJECUTO EL VALOR DE $ 13,250,000, POR LO QUE SE ADELANTA PROCESO JURÍDICO PARA REINTEGRO POR SALDO DE ANTICIPO; INICIALMENTE EL INTERVENTOS DEL CONTRATO FUE EL SEÑOR LEOVIGILDO MOSQUERA, LUEGO FUE REEMPLAZADO POR LA SEÑORA NANCY GENERA MUÑOZ</t>
  </si>
  <si>
    <t>JUVENTUD</t>
  </si>
  <si>
    <t>CENTROS DE ATENCIÓN ESPECIALIZADA- SRPA</t>
  </si>
  <si>
    <t>CONSTRUCCION DE 3 AULAS Y UN CENTRO DE RECURSOS EN EL INSTITUTO DE FORMACIÓN TORIBIO MAYA  MUNICIPIO DE POPAYAN</t>
  </si>
  <si>
    <t>2013-019000-0116
03-13-672</t>
  </si>
  <si>
    <t>1310/13</t>
  </si>
  <si>
    <t>JOSE ALFONSO GRIMALDY CAMACHO</t>
  </si>
  <si>
    <t>CONSTRUCCIÓN DE 3 AULAS ESCOLARES EN EL INSTITUTO DE FORMACIÓN TORIBIO MAYA MUNICIPIO DE POPAYAN</t>
  </si>
  <si>
    <t>4507
28/10/2013</t>
  </si>
  <si>
    <t>MILTON GUILLERMO MUÑOZ CAMACHO</t>
  </si>
  <si>
    <t>EL PROYECTO ESTRUCTURADO PARA 2 FASES LA PRIMERA CONSTRUCCIÓN DE 3 AULAS Y LA SEGUNDA CONSTRUCCIÓN DE UN CENTRO DE RECURSOS; SEGÚN INFORME DEL INTERVENTOR NO SE HA RECIBIDO OBRA ALGUNA PERO POR VISITAS TECNICAS DE INSPECCIÓN SE EVIDENCIA ADELANTO DE LA OBRA EN UN 90%</t>
  </si>
  <si>
    <t>CONSTUCCIÓN DE 3 AULAS ESCOLARES</t>
  </si>
  <si>
    <t>SE DIO UN ANTICIPO DEL 50% PERO SOLO SE HA EJECUTADO EL 15%</t>
  </si>
  <si>
    <t xml:space="preserve">671
06/8/13
</t>
  </si>
  <si>
    <t>2755
11/07/13</t>
  </si>
  <si>
    <t>4932
06/08/13</t>
  </si>
  <si>
    <t>OMAR FELIPE MUÑOZ MURILLO</t>
  </si>
  <si>
    <t xml:space="preserve">CONVOCATORIAS, ACTAS DE REUNIONES , PLANES DE ACCION, PLANES DE CAPACITACION, REGISTRO FOTOGRAFICO, LISTAS DE ASISTENCIA, INFORME TECNICO Y DOCUMENTO TECNICO DE LAS ACTIVIDADES </t>
  </si>
  <si>
    <t>672
06/08/13</t>
  </si>
  <si>
    <t>E.S.E TIERRADENTRO</t>
  </si>
  <si>
    <t>E.S.E CENTRO I</t>
  </si>
  <si>
    <t>2760
11/07/13</t>
  </si>
  <si>
    <t>4951
06/0813</t>
  </si>
  <si>
    <t xml:space="preserve">PROCESO DE LIQUIDACION </t>
  </si>
  <si>
    <t xml:space="preserve">INFORME POBLACION VACUNADA; INFORME GESTANTES CAPTADAS; INFORME DE ACTIVIDADES IAMI, IEPI; PLANES DE CAPACITACION,; INFORME SEGUIMIENTO REALIZADO EN EL NIVEL I Y NIVEL II MADRE CANGURO </t>
  </si>
  <si>
    <t xml:space="preserve">EL VALOR DEL CONTRATO INTERADMINISTRATIVO ES POR VALOR DE: 196.166.000, DONDE 30.000.000 CORRESPONDEN A SALUD INFANTIL </t>
  </si>
  <si>
    <t>700
12/0813</t>
  </si>
  <si>
    <t>EMPRESA SOCIAL DEL ESTADO CENTRO 2</t>
  </si>
  <si>
    <t>2225
06/06/13
2759
11/07/13</t>
  </si>
  <si>
    <t>5131
12/08/13
5138
12/08/13</t>
  </si>
  <si>
    <t xml:space="preserve">INFORME DE APOYO PROGRAMA PAI; PLAN DE CAPACITACION, LISTAS DE ASISTENCIA, LISTADO USUARIOS CAPACITADOS DE DIFERENTES PROGRAMAS, INFORME DE SEGUIMIENTO REALIZADO EN EL NIVEL I A LOS NIÑOS A LOS NIÑAS Y NIÑAS ATENDIDOS EN EL NIVEL II EN EL PROYECTO MADRE CANGURO </t>
  </si>
  <si>
    <t xml:space="preserve">EL VALOR DEL CONTRATO INTERADMINISTRATIVO ES POR VALOR DE: 152.866.000, DONDE 53.000.000 CORRESPONDEN A SALUD INFANTIL </t>
  </si>
  <si>
    <t>706
12/08/13</t>
  </si>
  <si>
    <t xml:space="preserve">JORGE HERNANO CORTEZ QUIÑONEZ </t>
  </si>
  <si>
    <t>2761
11/07/13</t>
  </si>
  <si>
    <t>5143
12/08/13</t>
  </si>
  <si>
    <t>HERNANDO GIL GÓMEZ</t>
  </si>
  <si>
    <t xml:space="preserve">INFORME DE ASISTENCIA TECNICA PLAN DE MEJORAMIENTO SUSCRITO IPS; INFORME DE SEGUIMIENTO Y EVALUACION AL CUMPLIMIENTO DE ACTIVIDADES Y PRODUCTOS; ACTAS DE REUNION; INFORME REUNIONES </t>
  </si>
  <si>
    <t>707
12/08/13</t>
  </si>
  <si>
    <t>EMPRESA SOCIAL DEL ESTADO POPAYAN</t>
  </si>
  <si>
    <t xml:space="preserve">4 MESES Y 15 DIAS </t>
  </si>
  <si>
    <t>1272
02/04/13</t>
  </si>
  <si>
    <t>5145
12/08/13</t>
  </si>
  <si>
    <t xml:space="preserve">EL VALOR DEL CONTRATO INTERADMINISTRATIVO ES POR VALOR DE: 235.000.000, DONDE 35.000.000 CORRESPONDEN A SALUD INFANTIL </t>
  </si>
  <si>
    <t xml:space="preserve">INFORME CONSOLIDACION DE LA POBLACION CAPTADA; INFORME DE ACTIVIDADES IAMI, AIEPI COMUNITARIO PIAMONTE </t>
  </si>
  <si>
    <t>722
16/08/13</t>
  </si>
  <si>
    <t>EMPRESA SOCIAL DEL ESTADO HOSPITAL EL TAMBO</t>
  </si>
  <si>
    <t>1274
02/04/13
2756
11/07/13
2758
11/07/13</t>
  </si>
  <si>
    <t>5288
02/04/13
5295
16/08/13
5296
16/08/13</t>
  </si>
  <si>
    <t xml:space="preserve">EL VALOR DEL CONTRATO INTERADMINISTRATIVO ES POR VALOR DE: 261.568.004, DONDE 61.900.000 CORRESPONDEN A SALUD INFANTIL </t>
  </si>
  <si>
    <t xml:space="preserve">APOYO A LA REALIZACION DE VISITAS DE ASISTENCIA TECNICA PARA SOCIALIZAR EL PROGRAMA MADRE CANGURO; REALIZACION DE VISITAS, SEGUIMIENTO, Y EVALUACION DEL CUMPLIMIENTO DE ACTIVIDADES Y PRODUCTOS; BRINDAR APOYO EN LA ASISTENCIA TECNICA Y SEGUIMIENTO IPS, INFORME DE CALIDAD PROGRAMA MADRE CANGURO </t>
  </si>
  <si>
    <t>COMITÉ MUNICIPAL DE SALUD INFANTIL OPERANDO; ACTAS DE REUNIONES; SOPORTES DE CAPACITACION A NIÑOS REMITIDOS; ACTAS DE INFORMACION PLAN DE ACCION; CENSO GESTANTES Y MAPEO; BASE DE DATOS DE GESTANTES; SOPORTES DE CAPACITACION MADRE CANGURO; ACTAS DE SEGUIMIENTO MADRE CANGURO</t>
  </si>
  <si>
    <t>727
16/08/13</t>
  </si>
  <si>
    <t xml:space="preserve">JAVIER ANDRES RODRIGUEZ LOPEZ </t>
  </si>
  <si>
    <t>762
27/08/13</t>
  </si>
  <si>
    <t xml:space="preserve">EMPRESA SOCIAL DE ESTADO OCCIDENTE </t>
  </si>
  <si>
    <t>5314
16/08/13</t>
  </si>
  <si>
    <t>1266
02/04/13
1269
02/04/13
2757
11/07/13</t>
  </si>
  <si>
    <t>5538
02/04/13
5539
28/08/13
5542
28/08/13</t>
  </si>
  <si>
    <t xml:space="preserve">FALTAN DOS CUOTAS POR PAGAR </t>
  </si>
  <si>
    <t>ADALBERTO NARVAEZ ÑAÑEZ</t>
  </si>
  <si>
    <t xml:space="preserve">EL VALOR DEL CONTRATO INTERADMINISTRATIVO ES POR VALOR DE: 189.300.000, DONDE 123.800.000 CORRESPONDEN A SALUD INFANTIL </t>
  </si>
  <si>
    <t xml:space="preserve">PLAN DE ACTIVIDADES; INFORME POBLACION VACUNADA; ACTAS DE SEGUIMIENTO A LOS GRUPOS DE LACTANCIA; ACTAS DE SEGUIMIENTO DE VISITAS A LOS GRUPOS DE APOYO COMUNITARIO; INFORME PLAN CAPACITACION FAMILIAS </t>
  </si>
  <si>
    <t>763
27/08/13</t>
  </si>
  <si>
    <t>767
28/08/13</t>
  </si>
  <si>
    <t>798
04/09/13</t>
  </si>
  <si>
    <t>824
09/09/13</t>
  </si>
  <si>
    <t>883
19/09/!3</t>
  </si>
  <si>
    <t>EMPRESA SOCIAL DEL ESTADO OCCIDENTE</t>
  </si>
  <si>
    <t>EMPRESA SOCIAL DEL ESTADO GUAPI</t>
  </si>
  <si>
    <t>EMPRESA SOCIAL DEL ESTADO HOSPITAL EL BORDO</t>
  </si>
  <si>
    <t>EMPRESA SOCIAL DEL ESTADO CXAYU´CE JXUT</t>
  </si>
  <si>
    <t>EMPRESA SOCIAL DEL ESTADO SUR ORIENTE</t>
  </si>
  <si>
    <t>SIN ACTA DE INICIO</t>
  </si>
  <si>
    <t xml:space="preserve">1267
12/04/13
</t>
  </si>
  <si>
    <t>5562
28/08/13</t>
  </si>
  <si>
    <t xml:space="preserve">SIN ACTA DE INICIO NI PAGOS
EL VALOR DEL CONVENIO INTERADMINISTRATIVO ESTA POR VALOR DE 66.000.000, DONDE 56 MILLONES CORRESPONDEN AL PROYECTO SALUD INFANTIL DE LOS CUALES 35.000.000 SE DESTINARON POR RESOLUCION Y 21.000.000 POR EL SGP
</t>
  </si>
  <si>
    <t xml:space="preserve">INFORME BARRIDO POR MUNICIPIO TRIMESTRAL; INFORME CENSO POR MUNICIPIO; INFORME MONITOREO POR MUNICIPIO TRIMESTRAL; INFORME SEGUIMIENTO HISTORIAS CLINICAS; INFORME SEGÚN SISTEMA SDE INFORMACION; ANANALISIS DE HALLAGOS PROCESO SEGUIMIENTO HISTORIAS CLINICAS. 
</t>
  </si>
  <si>
    <t>1268
02/04/13</t>
  </si>
  <si>
    <t>5571
28/08/13</t>
  </si>
  <si>
    <t xml:space="preserve">INFORME ENCUESTAS REALIZADAS; ACTAS REUNIONES Y LISTA  DE ASISTENCIA, INFORME ACTIVIDADES VACUNACION; INFORME JORNADA INTERCAMBIO </t>
  </si>
  <si>
    <t>EL VALOR DEL CONVENIO INTERADMINISTRATIVO ESTA  91.899.992,  DONDE 27.899.992 CORRESPONDEN AL PROYECTO SALUD INFANTIL DE LOS CUALES 7.000.000 SE DESTINARON POR RESOLUCION Y 20.899.992  POR EL SGP</t>
  </si>
  <si>
    <t>2751
11/06/13</t>
  </si>
  <si>
    <t>5787
04/09/13</t>
  </si>
  <si>
    <t xml:space="preserve">INFORME VACUNACION; INFORME GESTANTES; INFORME IAMI Y AIEPI COMUNITARIO </t>
  </si>
  <si>
    <t xml:space="preserve">1271
02/04/13
2762
11/07/13
</t>
  </si>
  <si>
    <t>5853
09/09/13
5855
09/09/13</t>
  </si>
  <si>
    <t xml:space="preserve">PLAN DE ACCION DE CADA UNA DE LAS JORNADAS; REGISTRO DE CADA JORNADA; INFORME POBLACION VACUNADA; INFORME ACTIVIDADES MENSUALES ; INFORME MENSUAL DE SALIDAS DESTINO, TIEMPO; </t>
  </si>
  <si>
    <t>NO HAY ACTA DE INICIO NI PAGOS 
EL VALOR DEL CONVENIO INTERADMINISTRATIVO ESTA  POR $135.900.000,  DONDE $57.000.000. CORRESPONDEN AL PROYECTO SALUD INFANTIL DE LOS CUALES $7.000.000 SE DESTINARON POR RESOLUCION Y $50.000.000  POR EL SGP</t>
  </si>
  <si>
    <t>EL VALOR DEL CONVENIO INTERADMINISTRATIVO ESTA  POR $108.700.000,  DONDE 53.400.000. CORRESPONDEN AL PROYECTO SALUD INFANTIL</t>
  </si>
  <si>
    <t xml:space="preserve">6074
19/09/13
6069
19/09/13
</t>
  </si>
  <si>
    <t>1273
02/04/13
2752
11/07/13</t>
  </si>
  <si>
    <t xml:space="preserve">SIN ACTA DE INICIO NI PAGOS
EL VALOR DEL CONVENIO INTERADMINISTRATIVO ESTA POR  $150.400.000, DONDE $53.400.00 CORRESPONDEN AL PROYECTO SALUD INFANTIL 
</t>
  </si>
  <si>
    <t>678
06/0813</t>
  </si>
  <si>
    <t>691
12/08/13</t>
  </si>
  <si>
    <t>704
12/08/13</t>
  </si>
  <si>
    <t xml:space="preserve">722
16/08/13
</t>
  </si>
  <si>
    <t xml:space="preserve">EMPRESA SOCIAL DE ESTADO TIERRADENTRO </t>
  </si>
  <si>
    <t>EMPRESA SOCIAL DEL ESTADO CENTRO 1</t>
  </si>
  <si>
    <t xml:space="preserve">CONSEJO REGIONAL INDIGENA </t>
  </si>
  <si>
    <t>EMPRESA SOCIAL DEL ESTADO QUILISALUD</t>
  </si>
  <si>
    <t xml:space="preserve">CABILDO INDIGENA GUAMBIA </t>
  </si>
  <si>
    <t>951
08/03/13
954
08/03/13</t>
  </si>
  <si>
    <t>4926
06/08/13
4927
06/08/13</t>
  </si>
  <si>
    <t xml:space="preserve">EL VALOR DEL CONTRATO INTERADMINISTRATIVO ES POR  $183.800.00O, DONDE $60.000.000 CORRESPONDEN A SALUD INFANTIL </t>
  </si>
  <si>
    <t>EL VALOR DEL CONTRATO INTERADMINISTRATIVO ES POR  $183.800.00O, DONDE $55.000.000 CORRESPONDEN AL PROYECTO SALUD SEXUAL Y REPRODUCTIVA</t>
  </si>
  <si>
    <t xml:space="preserve">EVALUACION COBERTURA DE CADA PROGRAMA; INFORME TECNICO POR MUNICIPIO; INFORME ESTRATEGIAS DESARROLLADAS PARA LA PROMOCION DE HABITOS DE HIGIENE DE SALUD BUCAL; </t>
  </si>
  <si>
    <t>951
08/03/12</t>
  </si>
  <si>
    <t>4934
06/08/13</t>
  </si>
  <si>
    <t>EL VALOR DEL CONTRATO INTERADMINISTRATIVO ES POR VALOR DE: 196.166.000, DONDE 30.000.000 CORRESPONDEN AL PROYECTO SALUD SEXUAL Y REPRODUCTIVA</t>
  </si>
  <si>
    <t>623
21/02/13</t>
  </si>
  <si>
    <t>4950
06/08/13</t>
  </si>
  <si>
    <t>NO SE REPORTAN PAGOS
EL VALOR DEL CONTRATO INTERADMINISTRATIVO ES POR VALOR DE: $ 233.500.000, DONDE 100.000.000 CORRESPONDEN AL PROYECTO SALUD SEXUAL Y REPRODUCTIVA</t>
  </si>
  <si>
    <t xml:space="preserve">DOCUMENTO DEL MODELO INTERCULTURAL DE SALUD; DOCUMENTO CONTENTIVO EL CICLO FAMILIAR HILADORA DE VIDA; INFORME CAPACITACIONES; ENCUENTRO DE 9 ZONAS Y UNA REGION </t>
  </si>
  <si>
    <t>954
08/03/13</t>
  </si>
  <si>
    <t>5115
12/08/13</t>
  </si>
  <si>
    <t>EL VALOR DEL CONTRATO INTERADMINISTRATIVO ES POR VALOR DE: $ 80.000.000, DONDE $25.000.000 CORRESPONDEN AL PROYECTO SALUD SEXUAL Y REPRODUCTIVA</t>
  </si>
  <si>
    <t xml:space="preserve">ACTA CAPACITACIOS, REGISTRO DE ASISTENCIAS, INFORME SEGUIMIENTO DE LAS GESTANTES MATERNIDAD SEGURA, DOCUMENTO DE CONSOLIDACION DE LAS PROPUESTAS DEL NORTE DEL CAUCA ABORDADOS DESDE EL API; ACTAS DE REUNIONES Y ENCUENTROS DE EXPERIENCIAS EXITOSAS: DOCUMENTOS DE ESTUDIOS REALIZADOS EN EL MUNICIPIO </t>
  </si>
  <si>
    <t>901
17/03/13</t>
  </si>
  <si>
    <t>5141
12/08/13</t>
  </si>
  <si>
    <t>954
08/03/13
2753
11/06/13</t>
  </si>
  <si>
    <t>5145
12/08/13
5150
12/08/13</t>
  </si>
  <si>
    <t>951
08/08/13</t>
  </si>
  <si>
    <t>5287
10/08/13</t>
  </si>
  <si>
    <t>5537
28/08/13</t>
  </si>
  <si>
    <t xml:space="preserve">ACTAS, INFORMES, ESTRATEGIA ELABORADA Y FUNDIDA </t>
  </si>
  <si>
    <t xml:space="preserve">REALIZAR EVENTO DEPARATAMENTAL CON LOS MUNICIPIOS CONVOCADOS, LISTA DE ASISTENCIA Y REGISTRO FOTOGRAFICO </t>
  </si>
  <si>
    <t xml:space="preserve">HASTA LA FECHA AL CONTRATO INTERADMINISTRATIVO SE LE HAN REALIZADO DOS PAGOS, PERO COMO LAS ACTIVIDADES DE ESTE PROYECTO NO SE HAN EJECUTADO LOS PAGOS SE HAN DESTINADO A OTROS PROYECTOS, POR LO QUE EL PAGO DE ESTE ESTE PENDIENTE.
EL VALOR DEL CONTRATO INTERADMINISTRATIVO ES POR VALOR DE: $ 235.000.000, DONDE $95.000.000 CORRESPONDEN AL PROYECTO SALUD SEXUAL Y REPRODUCTIVA. </t>
  </si>
  <si>
    <t xml:space="preserve">EL VALOR DEL CONTRATO INTERADMINISTRATIVO ES POR VALOR DE: $ 261.568.000, DONDE $30.000.000 CORRESPONDEN AL PROYECTO SALUD SEXUAL Y REPRODUCTIVA. </t>
  </si>
  <si>
    <t>EL VALOR DEL CONTRATO INTERADMINISTRATIVO ES POR VALOR DE: $ 189.300.000, DONDE $25.000.000 CORRESPONDEN AL PROYECTO SALUD SEXUAL Y REPRODUCTIVA</t>
  </si>
  <si>
    <t xml:space="preserve">INFORME COMITÉ; INFORME VISITAS REALIZADAS Y ANALISIS DE SITUACION; DOCUMENTO DE LA EXPERIENCIA DE CADA ZONA; INFORME DE LAS ACTIVIADES EN CADA INSTITUCION EDUCATIVA </t>
  </si>
  <si>
    <t>PLAN DE CAPACITACION; BASER DE DATOS COMUNITARIOS; ANALISIS INDICADORES; INFORME SEGÚN HISTORIAS CLINICAS; INFORME SEGUIMIENTO SISTEMAS DE INFORMACION; DOCUMENTO ESCRITO DE LA ESTRATEGIA IEC</t>
  </si>
  <si>
    <t xml:space="preserve">EMPRESA SOCIAL DE ESTADO GUAPI </t>
  </si>
  <si>
    <t>883
19/09/13</t>
  </si>
  <si>
    <t>CONVENIO
1094
7/11/13</t>
  </si>
  <si>
    <t xml:space="preserve">CONSEJO REGIONAL INDIGENA DEL CAUCA </t>
  </si>
  <si>
    <t>31/12/!3</t>
  </si>
  <si>
    <t>1 MES</t>
  </si>
  <si>
    <t>2754
11/07/13</t>
  </si>
  <si>
    <t>5852
09/09/13</t>
  </si>
  <si>
    <t>6068
19/09/13</t>
  </si>
  <si>
    <t>7705
07/11/13</t>
  </si>
  <si>
    <t>EL VALOR DEL CONTRATO INTERADMINISTRATIVO ES POR VALOR DE: $ 108.700.000, DONDE $25.000.000 CORRESPONDEN AL PROYECTO SALUD SEXUAL Y REPRODUCTIVA</t>
  </si>
  <si>
    <t>SIN ACTA DE INICIO, NI PAGOS
EL VALOR DEL CONTRATO INTERADMINISTRATIVO ES POR VALOR DE: $ 150.400.000, DONDE $25.000.000 CORRESPONDEN AL PROYECTO SALUD SEXUAL Y REPRODUCTIVA</t>
  </si>
  <si>
    <t>SIN ACTA DE INICIO, NI PAGOS
EL VALOR DEL CONVENIOR ES POR : $ 52.840.000, DONDE $12.840.000APORTA EL CRIC Y $40.000.000 EL SGP  AL PROYECTO SALUD SEXUAL Y REPRODUCTIVA</t>
  </si>
  <si>
    <t>INFORME MENSUAL Y RESULTADOS EN LA ESTRATEGIA SERVICIOS AMIGABLES; DOCUMENTO ESCRITO DE LA ESTRATEGIA IEC</t>
  </si>
  <si>
    <t>DOCUMENTO ESCRITO DEL MODELO DE SERVICIO AMIGABLE INTRA Y ESTRA MURAL; INFORME ACTIVIDADES LUDICORECREATIVAS; DOCUMENTO DEL DESARROLLO Y EVALUACION POR MEDIO DEL PROGRAMA INDICADO</t>
  </si>
  <si>
    <t xml:space="preserve">ACTAS Y REGISTROS FOTOGRAFICOS DE ACTIVIDADES REALIZADAS; ACTAS DE TALLERES ZONALES; INFORME DETALLADOS CON CON SISTEMATIZACION DE LA INFORMACION </t>
  </si>
  <si>
    <t>MEJORAR LA SALUD INFANTIL</t>
  </si>
  <si>
    <t>2013-019000-0012
10-13-366</t>
  </si>
  <si>
    <t>2013-019000-0013
10-13-367</t>
  </si>
  <si>
    <t xml:space="preserve">MEJORAR LA SALUD SEXUAL Y REPRODUCTIVA </t>
  </si>
  <si>
    <t>723
16/08/13</t>
  </si>
  <si>
    <t>EMPRESA SOCIAL DEL ESTADO NORTE 3</t>
  </si>
  <si>
    <t>791
02/09/13</t>
  </si>
  <si>
    <t xml:space="preserve">798
04/09/13
</t>
  </si>
  <si>
    <t>EMPRESA SOCIAL DEL ESTADO NORTE 1</t>
  </si>
  <si>
    <t xml:space="preserve">EMPRESA SOCIAL DEL ESTADO HOSPITAL NIVEL 1 EL BORDO </t>
  </si>
  <si>
    <t>936
30/09/13</t>
  </si>
  <si>
    <t>MARIA ELIA RUIZ SINISTERRA</t>
  </si>
  <si>
    <t>1239
25/11/13</t>
  </si>
  <si>
    <t xml:space="preserve">ARACELLY HERNANDEZ </t>
  </si>
  <si>
    <t>401
03/03/13</t>
  </si>
  <si>
    <t xml:space="preserve">YOLI FERNANDA MERA QUENGUAN </t>
  </si>
  <si>
    <t xml:space="preserve">
671
06/8/13
</t>
  </si>
  <si>
    <t xml:space="preserve">1 MES </t>
  </si>
  <si>
    <t>2477
26/06/13
2472
25/06/13</t>
  </si>
  <si>
    <t>4929
06/08/13
4930
06/08/13</t>
  </si>
  <si>
    <t xml:space="preserve">INFORME TECNICO POR MUNICIPIO; DOCUMENTOS CON SOPORTES DE LA EVIDENCIA DEL DESARROLLO DE LAS ESTRATEGIAS ARTICULADAS CON LAS INSTITUCIONES; INFORME CARACTERIZACION DEL DAÑO PSICOSOCIAL-, PLAN INTERRENCION POR MUNICIPIO </t>
  </si>
  <si>
    <t>2446
25/06/13
2469
25/06/13</t>
  </si>
  <si>
    <t>4936
06/08/13
4939
06/08/13</t>
  </si>
  <si>
    <t xml:space="preserve">EL VALOR DEL CONTRATO INTERADMINISTRATIVO ES POR  $183.800.00O, DONDE $18.300.000 CORRESPONDEN AL PROYECTO  ENFERMEDADES PREVENIBLES Y NO PREVENIBLES Y LAS DISCAPACIDADES Y 20.000.00 A GASTOS DE TRANSPORTE </t>
  </si>
  <si>
    <t>EL VALOR DEL CONTRATO INTERADMINISTRATIVO ES POR VALOR DE: 196.166.000, DONDE $27.500.000 CORRESPONDEN AL PROYECTO  ENFERMEDADES PREVENIBLES Y NO PREVENIBLES Y LAS DISCAPACIDADES</t>
  </si>
  <si>
    <t>EL VALOR DEL CONTRATO INTERADMINISTRATIVO ES POR VALOR DE: 152.866.000, DONDE $36.200.000 CORRESPONDEN AL PROYECTO  ENFERMEDADES PREVENIBLES Y NO PREVENIBLES Y LAS DISCAPACIDADES</t>
  </si>
  <si>
    <t>2471
25/03/13
2444
26/06/13
2476
25/06/13</t>
  </si>
  <si>
    <t>5132
12/08/13
5135
12/08/13
5136
12/08/13</t>
  </si>
  <si>
    <t xml:space="preserve">INFORME DE POBLACION IDENTIFICADA Y CANALIZADA; BASES DE DATOS; INFORME DE RESULTADOS TAMIZAJES; INFORME ACCIONES DE COORDINACION; DOCUMENTOS QUE SOPORTEN LA EVIDENCIA EN EL DESARROLLO DE LAS ESTRATEGIAS ARTICULADAS CON LAS INSTITUCIONES Y REDES EN LOS MUNCIPIOS </t>
  </si>
  <si>
    <t xml:space="preserve">INFORME DE POBLACION IDENTIFICADA Y CANALIZADA; BASES DE DATOS; INFORME DE RESULTADOS TAMIZAJES; INFORME ACCIONES DE COORDINACION; DOCUMENTOS QUE SOPORTEN LA EVIDENCIA EN EL DESARROLLO DE LAS ESTRATEGIAS ARTICULADAS CON LAS INSTITUCIONES Y REDES EN LOS MUNCIPIOS; DOCUMENTOS CON ESTRATEGIAS DE SOSTENIMIENTO Y FORTAlECIMIENTO  INTERSECTORIAL; INFORME DE ACTIVIDADES DE PROMOCION MODOS Y CONDICIONES DE ESTILOS DE VIDA SALUDABLES </t>
  </si>
  <si>
    <t xml:space="preserve">2445
25/06/13
</t>
  </si>
  <si>
    <t>5291
16/08/13</t>
  </si>
  <si>
    <t>LIDERES CAPACITADOS EN EL PROGRAMA DE DISCAPACIDAD; GRUPOS INTERSECTORIALES; EVALUAR DE MANERA INTEGRAL  A LOS PACIENTES DE RUTAS ESTABLECIDADS</t>
  </si>
  <si>
    <t>EL VALOR DEL CONTRATO INTERADMINISTRATIVO ES POR VALOR DE: $ 261.568.000, DONDE $12.500.000 CORRESPONDEN AL PROYECTO  ENFERMEDADES PREVENIBLES Y NO PREVENIBLES Y LAS DISCAPACIDADES</t>
  </si>
  <si>
    <t>2843
17/07/13
2470
25/06/13</t>
  </si>
  <si>
    <t>5309
16/08/13
5306
16/08/13</t>
  </si>
  <si>
    <t xml:space="preserve"> DOCUMENTOS QUE SOPORTEN LA EVIDENCIA EN EL DESARROLLO DE LAS ESTRATEGIAS ARTICULADAS CON LAS INSTITUCIONES Y REDES EN LOS MUNCIPIOS; INFORME  DE ESTRATEGIAS DE PROMOCION DE ACTIVIDADES FISICAS ESTILOS DE VIDA SALUDABLES</t>
  </si>
  <si>
    <t>SIN ACTA DE INICIO, NI REPORTE DE  PAGOS 
EL VALOR DEL CONTRATO INTERADMINISTRATIVO ES POR : $ 49.800.000, DONDE $21.800.000 CORRESPONDEN AL PROYECTO  ENFERMEDADES PREVENIBLES Y NO PREVENIBLES Y LAS DISCAPACIDADES</t>
  </si>
  <si>
    <t>EL VALOR DEL CONTRATO INTERADMINISTRATIVO ES POR : $ 189.300.000, DONDE $ 11.500.000 CORRESPONDEN AL PROYECTO  ENFERMEDADES PREVENIBLES Y NO PREVENIBLES Y LAS DISCAPACIDADES</t>
  </si>
  <si>
    <t>2467
25/06/13</t>
  </si>
  <si>
    <t>5540
28/08/13</t>
  </si>
  <si>
    <t>INFORME DE ACTIVIDADES FISICAS REALIZADAS</t>
  </si>
  <si>
    <t>2473
25/06/13
2840
17/07/13</t>
  </si>
  <si>
    <t>5728
02/09/13
5729
02/09/13</t>
  </si>
  <si>
    <t>SIN ACTA DE INICIO, NI REPORTE DE PAGOS 
EL VALOR DEL CONTRATO INTERADMINISTRATIVO ES POR : $ 23.900.000, DONDE $ 16.900.000 CORRESPONDEN AL PROYECTO  ENFERMEDADES PREVENIBLES Y NO PREVENIBLES Y LAS DISCAPACIDADES</t>
  </si>
  <si>
    <t xml:space="preserve">DOCUMENTO CON ESTRATEGIAS PARA EL SOSTENIMIENTO Y FORTALECIMIENTO INTERSECTORIAL; INFORME DE ACTIVIDADES DE LA PROMOCION DE MODOS Y CONDICIONES DE ESTILOS DE VIDA SALUDABLES; DOCUMENTO CON ESTRATEGIA PARA EMPODERAR A LA COMUNIDAD E INSTITUCIONES DEL NO CONSUMO DE CIGARRILLO  </t>
  </si>
  <si>
    <t>2841
17/07/13
2474
23/03/13</t>
  </si>
  <si>
    <t>5788
04/09/13
5785
04/09/13</t>
  </si>
  <si>
    <t xml:space="preserve"> NO SE REPORTAN LOS PAGOS
EL VALOR DEL CONTRATO INTERADMINISTRATIVO ES POR : $ 135.900.000, DONDE $ 15.900.000 CORRESPONDEN AL PROYECTO  ENFERMEDADES PREVENIBLES Y NO PREVENIBLES Y LAS DISCAPACIDADES</t>
  </si>
  <si>
    <t xml:space="preserve">DOCUMENTO CON SOPORTE QUE EVIDENCIE EL DESARROLLO DE LA ESTRATEGIA ARTICULADA CON LAS INSTITUCIONES Y REDES; DOCUMENTOS CON ESTRATEGIAS PARA EL SOSTENIMIENTO INTERSECTORIAL; INFORME DE ACTIVIDADES DE LA PROMOCION DE MODOS Y CONDICIONES DE ESTILOS DE VIDA SALUDABLES </t>
  </si>
  <si>
    <t>2466
25/06/13
2839
27/07/13</t>
  </si>
  <si>
    <t>5854
09/09/13
5856
09/09/13</t>
  </si>
  <si>
    <t>EL VALOR DEL CONTRATO INTERADMINISTRATIVO ES POR VALOR DE: $ 108.700.000, DONDE $15.300.000  CORRESPONDEN AL PROYECTO  ENFERMEDADES PREVENIBLES Y NO PREVENIBLES Y LAS DISCAPACIDADES</t>
  </si>
  <si>
    <t xml:space="preserve">INFORME MENSUAL DE ACTIVIDADES DE TRABAJO REALIZADAS, Y EVALUADAS  </t>
  </si>
  <si>
    <t xml:space="preserve">DOCUMENTO ESCRITO DEL MODELO DE SERVICIO AMIGABLE INTRA Y ESTRA MURAL; INFORME ACTIVIDADES LUDICORECREATIVAS; REPORTE TRIMESTRAL DE INDICADORES DE CALIDAD; DOCUMENTOS DE ESTRATEGIAS ESTABLECIDAS </t>
  </si>
  <si>
    <t>2842
17/07/13
2443
25/06/13
2468
25/06/13</t>
  </si>
  <si>
    <t>6075
19/09/13
6072
19/09/13
6073
19/09/13</t>
  </si>
  <si>
    <t>SIN ACTA DE INICIO, NI PAGOS
EL VALOR DEL CONTRATO INTERADMINISTRATIVO ES POR VALOR DE: $ 150.400.000, DONDE $24.500.000  CORRESPONDEN AL PROYECTO  ENFERMEDADES PREVENIBLES Y NO PREVENIBLES Y LAS DISCAPACIDADES, MAS 2.900.000 DE GASTOS DE TRANSPORTE</t>
  </si>
  <si>
    <t>7 MESES</t>
  </si>
  <si>
    <t>6448
30/09/13</t>
  </si>
  <si>
    <t>1336
08/08/13</t>
  </si>
  <si>
    <t>LUCIA FABIOLA VIDAL CHAMARRO</t>
  </si>
  <si>
    <t xml:space="preserve">INFORME MENSUAL CON SOPORTES Y RECOLECCION DE MUESTRAS; INFORME MENSUAL CON TARJETAS DE TRATAMIENTO; INFORME MENSUAL CON ACTAS DE ACTIVIDADES; INFORME DE VISITAS REALIZADAS </t>
  </si>
  <si>
    <t>4394
23/10!#</t>
  </si>
  <si>
    <t>8175
15/11/13</t>
  </si>
  <si>
    <t>1057
18/03/13</t>
  </si>
  <si>
    <t>2495
03/05/13</t>
  </si>
  <si>
    <t xml:space="preserve"> NESTOR WILLIAM BUITRAGO</t>
  </si>
  <si>
    <t xml:space="preserve">INFORME MENSUAL CON SOPORTES Y RECOLECCION DE MUESTRAS; INFORME MENSUAL CON TARJETAS DE TRATAMIENTO; INFORME MENSUAL DE ACTIVIDADES EDUCATIVAS; INFORME MENSUAL CON SOPORTE DE FICHAS DE SEGUIMIENTO A LOS CONTACTOS </t>
  </si>
  <si>
    <t xml:space="preserve">INFORME MENSUAL CON SOPORTES Y RECOLECCION DE MUESTRAS; INFORME MENSUAL CON SOPORTE DE FICHAS DE SEGUIMIENTO; INFORME MENSUAL DE LOS PROCESOS REALIZADOS A LA POBLACION OBJETO; INFORME PROCESOS ESTABLECIDOS CON POBLACION CARCELARIA; INFORME MENSUAL CON ACTIVIDADES EDUCATIVAS </t>
  </si>
  <si>
    <t xml:space="preserve">ENFERMEDADES CRONICAS PREVENIBLES Y NO PREVENIBLES Y LAS DISCAPACIDADES </t>
  </si>
  <si>
    <t>ADECUACION Y MEJORAMIENTO DE INFRAESTRUCTURA PARA LA PRESTACION DE SERVICIOS DE SALUD EN EL HOSPITAL NIVEL 1 DE LOPEZ DE MICAY</t>
  </si>
  <si>
    <t>ADECUACION DE LA INFRAESTRUCTURA  Y CONSTRUCCION DEL DEPOSITO DE RESIDUOS SOLIDOS HOSPITALARIOS, CENTRO DE CAPACITACIONES Y DEPOSITO TRANSITORIO DE CADAVERES DEL HOSPITAL DEL MUNICIPIO DE TIMBIQUI CAUCA</t>
  </si>
  <si>
    <t>MEJORAR LA NUTRICIÓN DE LA POBLACIÓN CAUCANA CAUCA SIN HAMBRE</t>
  </si>
  <si>
    <t>2013-019000-0016
10-13-370</t>
  </si>
  <si>
    <t>FUNDACION PARA LA COMUNICACIÓN POPULAR</t>
  </si>
  <si>
    <t>AUNAR ESFUERZOS ECONOMICOS ADMINISTRATIVOS Y FINANACIEROS PARA AVANZAR CON LA EJECUCION DEL PROGRAMA PANES REALIZANDO ACCIONES DE ASISTENCIA TECNICA EN LA PRODUCCION DE ALIMENTOS Y SEGUIMIENTO NUTRICIONAL A GRUPOS DE MAS ALTA VULNERABILIDAD EN LA ZONA DE INFLUENCIA DE COLEGIOS AGROPECUARIOS Y OTRAS ESCUELAS RURALES DE 39 MUNICIPIOS PARA LA COMPLEMENTACION ALIMENTARIA CON ALIMENTO DE ALTO CONTENIDO NUTRICIONAL A FAMILIAS CON NIÑAS Y NIÑOS MENORES DE CINCO AÑOS Y ESCOLARES ADEMAS DE LA REALIZACION DE CINCO ENCUENTROS REGIONALES DE CAPACITACION EN INTERPRETACION Y ANALISIS DE DATOS DEL SISTEMA DE VIGILANCIA NUTRICIONAL EN 5 REGIONES DEL DEPARTAMENTO</t>
  </si>
  <si>
    <t>APOYAR EL FORTALECIMIENTO DE LA CAPACIDAD DE GESTIÓN EN SALUD PÚBLICA EN LOS MUNICIPIOS DE POPAYAN, TOTORO, PURACE, CALDONO, PIAMONTE EN EL MARCO DE LA ESTRATEGIA DE ATENCION PRIMARIA EN SALUD SEXUAL Y REPRODUCTIVA, SALUD ORAL, ENFERMEDADES CRÓNICAS CON ENFOQUE DIFERENCIAL , TERRITORIAL, PSICOSOCIAL, Y DE DETERMIANATES SOCIALES</t>
  </si>
  <si>
    <t>CABILDO INDIGENA DE GUAMBIA</t>
  </si>
  <si>
    <t>AUNAR ESFUERZOS ADMINISTRATIVOS TÉCNICOS Y FINANCIEROS PARA IMPLEMENTAR UNA ESTRATEGIA CON ENFOQUE DIFERENCIAL E INTERCULTURAL CON LOS PUEBLOS INDIGENAS DEL CABILDO INDIGENA DE GUAMBIA PARA MEJORAR LA NUTRICIÓN DEL PUEBLO MISAK EN EL MARCO DEL SISPI EN EL RESGUARDO INDIGENA DE GUAMBIA CON ACCIONES DE ALIMENTACIÓN SALUDABLE Y FORTALECIMIENTO DEL AMBIENTE DE VIDA</t>
  </si>
  <si>
    <t>CONSEJO REGIONAL INDIGENA DEL CAUCA</t>
  </si>
  <si>
    <t>AUNAR ESFUERZOS ADMINISTRATIVOS. TÉCNICOS Y FINANCIEROS PARA IMPLEMENTAR UNA ESTRATEGIA CON ENFOQUE DIFERENCIAL E INTERCULTURAL CON LOS PUEBLOS INDIGENAS DEL CABILDO INDIGENA DE GUAMBIA PARA PROMOCIONAR NUTRICIÓN DEL PUEBLO MISAK SIERRA MORENA A TRAVES DE LA ENSEÑANZA Y PREPARACIÓN DE ALIMENTOS PROPIOS EN EL MARCO DE LA SOBERANIA ALIMENTARIA  CON ENCUENTROS COMUNITARIOS DE SEMILLAS YATULES ADEMÁS DE LA ELABORACIÓN DE MATERIAL DIDACTICO AUDIOVISUAL Y SOCIALIZACIÓN DE  UNA ESTRATEGIA DE COMUNICACIÓIN QUE PERMITA RECUPERAR Y FORTALECER LA NUTRICIÓN PROPIA</t>
  </si>
  <si>
    <t>AUNAR ESFUERZOS ADMINISTRATIVOS , TÉCNICOS Y FINANCIEROS PARA IMPLEMENTAR UNA ESTRATEGIA CON ENFOQUE DIFERENCIAL E INTERCULTURAL CON LOS PUEBLOS INDIGENAS  DEL CRIC PARA REALIZAR ACCIONES DE FORTALECIMIENTO DE LA ATENCIÓN PRIMARIA  EN SALUD EN LAS LINEAS DE SEGURIDAD ALIMENTARIA Y NUTRICIONAL SALUD SEXUAL  Y REPRODUCTIVA A TRAVÉS DEL CUIDADO DE LA GESTACIÓN PARTO Y PUERPERIO MEDIANTE PROCESOS EN POBLACIÓN ESPECIAL CON CARACTER DIFERENCIAL ÉTNICO INDIGENA</t>
  </si>
  <si>
    <t>E.S.E OCCIDENTE a traves de Ing. Ivan Enrique Torres Zuñiga</t>
  </si>
  <si>
    <t>E.S.E OCCIDENTE a traves de Dra. PAULA ESTHER DELGADO ZAMBRANO</t>
  </si>
  <si>
    <t xml:space="preserve">INTERVENTORIA TECNICA, FINANCIERA Y ADMINISTRATIVA DE LOS SIGUIENTES PROYECTOS DE CONSTRUCCIÓN: . Adecuación de la Infraestructura y construcción del deposito de residuos hospitalarios , centro de capacitaciones y deposito transitorio de cadaveres del Municipio de Timbiqui Cauca . Adecuación de la Infraestructura y construcción del deposito de residuos hospitalarios y deposito transitorio de cadaveres del Hosìtal del Municipio de Lopez de Micay . construcción en sistema royalco del puesto de salud  Dos Quebradas en el rio Naya Municipio de López de Micay </t>
  </si>
  <si>
    <t>E.S.E OCCIDENTE
a través del Ing. Héctor Uriel Casas Zuñiga</t>
  </si>
  <si>
    <t>ADECUACIÓN DE LA INFRAESTRUCTURA Y CONSTRUCCIÓN DEL DEPOSITO DE RESIDUOS HOSPITALARIOS, CENTRO DE CAPACITACIONES Y DEPOSITO TRANSITORIO DE CADAVERES DEL HOSPITAL DEL MUNICIPIO DE TIMBIQUI CAUCA</t>
  </si>
  <si>
    <t>2013-019000-0117
10-13-669</t>
  </si>
  <si>
    <t xml:space="preserve">4775
08/11/2013
</t>
  </si>
  <si>
    <t>7840
08/11/2013</t>
  </si>
  <si>
    <t>1
MES</t>
  </si>
  <si>
    <t>Desde su perfeccionamiento hasta el dia que terminen totalmente las obras y el contrato pueda expedir los certificadis de recibo correspondientes</t>
  </si>
  <si>
    <t>31/12/20113</t>
  </si>
  <si>
    <t>672
25/02/2013</t>
  </si>
  <si>
    <t>3234
00/00/0000</t>
  </si>
  <si>
    <t>3021
00/00/0000
2447
25/06/2013</t>
  </si>
  <si>
    <t>7704
07/11/2013
7703
07/11/2013</t>
  </si>
  <si>
    <t>2719
08/07/2013</t>
  </si>
  <si>
    <t>7693
07/11/2013</t>
  </si>
  <si>
    <t>Con otro si paso a:
31/03/2014</t>
  </si>
  <si>
    <t>2949
26/07/2013
2447
25/062013</t>
  </si>
  <si>
    <t>7700
07/11/2013
7698
07/11/2013</t>
  </si>
  <si>
    <t>SUPERVISOR
Dr. Oscar Alegria Sinesterra</t>
  </si>
  <si>
    <t>SUPERVISOR
ING. DIDIER IVAN GOLONDRINO LEON</t>
  </si>
  <si>
    <t>CARMEN STELL</t>
  </si>
  <si>
    <t>$ 490.000.000 aporte de la Gobernación màs           $ 50.000.000 aporte de FUNCOP representado en bienes y servicios</t>
  </si>
  <si>
    <t>OMAR FELIPE MURILLO MUÑOZ
Profesional especializado
Secretaria de Salud Departamental</t>
  </si>
  <si>
    <t>$ 60.000.000 aporta Gobernación màs $ 6.000.000 que aporta el Cabildo Indigena</t>
  </si>
  <si>
    <t>$ 50.000.000 aporta Gobernación más $ 5.000.000 que aporta el Cabildo Indigena</t>
  </si>
  <si>
    <t>2013-019000-0118
10-13-671</t>
  </si>
  <si>
    <t xml:space="preserve">MEJORAMIENTO SISTEMA DE ABASTASTECIMIENTO DE AGUA PARA EL HOSPITAL DE GUAPI </t>
  </si>
  <si>
    <t>2013-019000-0084
02-13-585</t>
  </si>
  <si>
    <t xml:space="preserve">REDES INTERCULTURALES EN SALUD </t>
  </si>
  <si>
    <t>NO HA EMPEZADO EJECUCION. SIN CDP</t>
  </si>
  <si>
    <t xml:space="preserve">2565
28/06/13
954
08/03/13
2753
1107/13
1272
02/04/13
2449
25/06/13
2464
25/06/13
917
07/03/13
</t>
  </si>
  <si>
    <t xml:space="preserve">5144
5145
5146
5147
5148
5149
5150
12/08/13
</t>
  </si>
  <si>
    <t xml:space="preserve"> EL VALOR DEL CONTRATO ES POR: $540.000.000
APORTE SECRETARIA DE SALUD $490.000.000
FUNCOP $ 50.000.000
CONTRATACION DIRECTA </t>
  </si>
  <si>
    <t>DIDIER IVAN GOLONDRINO</t>
  </si>
  <si>
    <t>MEJORAR LA SALUD EN EL TRABAJO Y DISMINUIR LAS ENFERMEDADES DE ORIGEN LABORAL</t>
  </si>
  <si>
    <t>2013-019000-0019
10-13-373</t>
  </si>
  <si>
    <t>745
22/08/2013</t>
  </si>
  <si>
    <t>OPTIMOS RED S.A.S</t>
  </si>
  <si>
    <t>PRESTAR SERVICIOS PROFESIONALES PARA APOYAR LA PROMOCIÓN DE LA SALUD DE LAS POBLACIONES LABORALES VULNERABLES A RIESGOS OCUPACIONALES CON ENFOQUE DIFERENCIAL EN EL MARCO DE LA ESTRATEGIA DE ATENCIÓN PRIMARIA PARA PREVENIR MITIGAR Y SUPERAR LOS RIESGOS DE ESTA POBLACIÓN CON LA PARTICIPACIÓN SOCIAL  E INTERSECTORIAL EN EL DEPARTAMENTO DEL CAUCA</t>
  </si>
  <si>
    <t>4 MESES, 9 DIAS</t>
  </si>
  <si>
    <t>2352
18/06/2013</t>
  </si>
  <si>
    <t>5385
22/06/2013</t>
  </si>
  <si>
    <t>TERMINADO EN PROCESO DE LIQUIDACIÓN</t>
  </si>
  <si>
    <t>AFRA SILVIA GALLEGO</t>
  </si>
  <si>
    <t>PRESTACION DE SERVICIOS PROFESIONALES EN APOYO A LA PROMOCION DE LA SALUD DE POBLACIONES LABORALES VULNERABLES A RIESGOS OCUPACIONALES</t>
  </si>
  <si>
    <t>SERVICIOS PROFESIONALES PRESTADOS EN CUMPLIMIENTO DE ACTIVIDADES  EN DESARROLLO DEL PROGRAMA DE SALUD DE POBLACIONES LABORALES VULNERABLES A RIESGOS OCUPACIONALES</t>
  </si>
  <si>
    <t>746
22/08/2013</t>
  </si>
  <si>
    <t>PRESTAR SERVICIOS PROFESIONALES PARA APOYAR EL SEGUIMIENTO Y LA EVALUACIÓN DE LA ESTRATEGIA ENTORNOS SALUDABLES Y A LOS PROGRAMAS DE SENSIBILIZACIÓN PARA LA REINCORPORACIÓN Y LA INCLUSIÓN DEL DISCAPACITADO EN EL SECTOR PRODUCTIVO CON ENFOQUE DIFERENCIAL EN EL MACO DE LA ESTRATEGIA ATENCIÓN PRIMARIA EN EL DEPARTAMENTO DEL CAUCA DE CONFORMIDAD CON LOS ESTUDIOS PREVIOS</t>
  </si>
  <si>
    <t xml:space="preserve">2350 Y 2353
18/06/2013
</t>
  </si>
  <si>
    <t>5386 Y 5387
22/06/2013</t>
  </si>
  <si>
    <t>EL VALOR DE LOS REGISTROS PRESUPUESTALES EXPEDIDOS ES DE $ 3O.000.000 CADA UNO, NO SE REFLEJA EL ULTIMO PAGO POR ENCONTRARSE EN PROCESO DE LIQUIDACIÓN</t>
  </si>
  <si>
    <t>PRESTACION DE SERVICIOS PROFESIONALES EN APOYO A SEGUIMIENTO Y EVALUACIÓN DE LA ESTRATEGIA DE ENTORNOS  SALUDABLES Y A LOS PROGRAMAS DE SENSIBILIZACIÓN PARA LA REINCORPORACIÓN Y LA INCLUSIÓN DEL DISCAPACITADO EN EL SECTOR PRODUCTIVO</t>
  </si>
  <si>
    <t>SERVICIOS PROFESIONALES PRESTADOS EN CUMPLIMIENTO DE ACTIVIDADES DE APOYO A SEGUIMIENTO Y EVALUACIÓN DE LA ESTRATEGIA DE ENTORNOS  SALUDABLES Y A LOS PROGRAMAS DE SENSIBILIZACIÓN PARA LA REINCORPORACIÓN Y LA INCLUSIÓN DEL DISCAPACITADO EN EL SECTOR PRODUCTIVO</t>
  </si>
  <si>
    <t>PRESTACIÓN DE SERVICIOS DE MEDIANA Y ALTA COMPLEJIDAD EN EL DEPARTAMENTO DEL CAUCA EN 2013</t>
  </si>
  <si>
    <t>2013-019000-0024
10-13-379</t>
  </si>
  <si>
    <t>1306
16/12/2013</t>
  </si>
  <si>
    <t>CLINICA LA ESTANCIA</t>
  </si>
  <si>
    <t>PRESTAR SERVICIOS DE SALUD DE MEDIANA Y ALTA COMPLEJIDAD PARA LA ATENCIÓN DE LA POBLACIÓN POBRE EN LOS EVENTOS NO POS DEL REGIMEN SUBSIDIADO, POBLACIÓN POBRE NO AFILIADA  AL SISTEMA DE SEGURIDAD EN SALUD Y PARA DAR CUMPLIMIENTO A FALLOS DE TUTELA SIEMPRE Y CUANDO SU ATENCIÓN  EN SALUD SEA COMPETENCIA DE LA SECRETARÍA DE SALUD DEL CAUCA SEGUN SERVICIO ( SALAS ESPECIALES: uNIDAD CUIDADOS INTENSIVOS E INTERMEDIOS ADULTO Y PEDIATRICO. SERVICIO DE HEMATOLOGIA: MEDICINA ESPECIALIZADA. SEDE POPAYAN)</t>
  </si>
  <si>
    <t>12 MESES</t>
  </si>
  <si>
    <t>2642/05/07/2013
($800,000,000)
2643/05/07/2013
($400,000,000)
3000/26/0//2013
($2,040,000,000</t>
  </si>
  <si>
    <t xml:space="preserve">8968/16/12/2013
($45,,000,000)
8969/16/12/2013
($30,000,000)
8970/16/12/13
($360,000,000)
</t>
  </si>
  <si>
    <t>LOS CDP 2642 Y 2643, APARECEN POR MAYOR VALOR EL CUAL LUEGO FUE AJUSTADO, SIN EMBARGO AMBOS CERTIFICADOS REPOSAN EN LAS CARPETAS ACOMPAÑADOS DE OFICIO DE MODIFICACIÓN.
CON ORDENANZA 141/03/12/2013, SE AUTORIZAN VIGENCIAS FUTURAS POR VALOR DE $ 2,465,000,000, DISTRIBUIDOS ASÍ: $ 255,000,000;  $170,000,000;  $ 2,040,000,000</t>
  </si>
  <si>
    <t>PRESTACION DE SERVICIOS EN SALAS ESPECIALES: UNIDAD CUIDADOS INTENSIVOS E INTERMEDIOS ADULTO Y PEDIATRICO. SERVICIO DE HEMATOLOGIA: MEDICINA ESPECIALIZADA. SEDE POPAYAN)</t>
  </si>
  <si>
    <t>SERVICIOS PRESTADOS SEGÚN FACTURAS HASTA 31/03/2014</t>
  </si>
  <si>
    <t>1300
13/12/2013</t>
  </si>
  <si>
    <t>HERMANAS HOSPITALARIAS DEL SAGRADO CORAZÓN DE JESUS/ R.L. MARIA ROSA LEINES LLUMIPANTA</t>
  </si>
  <si>
    <t>EL CONTRATISTA SE COMPROMETE CON EL DEPARTAMENTO DEL CAUCA - SECRETARIA DE SALUD A PRESTAR SERVICIOS DE SALUD DE MEDIANA Y ALTA COMPLEJIDAD PARA LA ATENCIÓN DE LA POBLACIÓN POBRE EN LOS EVENTOS NO POS DEL REGIMEN SUBSIDIADO, POBLACIÓN POBRE NO AFILIADA  AL SISTEMA DE SEGURIDAD EN SALUD Y PARA DAR CUMPLIMIENTO A FALLOS DE TUTELA SIEMPRE Y CUANDO SU ATENCIÓN  EN SALUD SEA COMPETENCIA DE LA SECRETARÍA DE SALUD DEL CAUCA DE CONFORMIDAD CON EL SERVICIO (ATENCIÓN INTEGRAL EN SALUD MENTAL DEL PACIENTE CON ENFERMEDAD PSIQUIATRICA CUALQUIERA QUE SEA SU ORIGEN INCLUYE HOSPITALIZACIÓN DE LARGA ESTANCIA PARA PACIENTES DEL GÉNERO MASCULINO. SEDE SAN JUAN DE PASTO NARIÑO)</t>
  </si>
  <si>
    <t>2634
05/07/2013</t>
  </si>
  <si>
    <t>8904
13/12/2013</t>
  </si>
  <si>
    <t>CON VIGENCIA 2014, EL 11 DE MARZO SE EXPIDIERON CDPS 1361 Y 1794 POR VALOR DE $ 935.000.000</t>
  </si>
  <si>
    <t>PRESTACIÓN DEL SERVICIO EN ATENCIÓN INTEGRAL EN SALUD MENTAL</t>
  </si>
  <si>
    <t>SERVICIO PRESTADO SEGÚN FACTURAS HASTA FEBRERO 2014</t>
  </si>
  <si>
    <t>1301
13/12/2013</t>
  </si>
  <si>
    <t>HOSPITAL SAN RAFAEL DE PASTO/RL. HERMANO PEDRO ANTONIO HERNANDEZ CASTRO</t>
  </si>
  <si>
    <t xml:space="preserve">PRESTAR SERVICIOS DE SALUD DE MEDIANA Y ALTA COMPLEJIDAD PARA LA ATENCIÓN DE LA POBLACIÓN POBRE EN LOS EVENTOS NO POS DEL REGIMEN SUBSIDIADO, POBLACIÓN POBRE NO AFILIADA  AL SISTEMA DE SEGURIDAD EN SALUD Y PARA DAR CUMPLIMIENTO A FALLOS DE TUTELA SIEMPRE Y CUANDO SU ATENCIÓN  EN SALUD SEA COMPETENCIA DE LA SECRETARÍA DE SALUD DEL CAUCA SEGUN SERVICIO ( ATENCIÓN INTEGRAL EN SALUD MENTAL DEL PACIENTE CON ENFERMEDAD PSIQUIATRICA CUALQUIERA QUE SEA SU ORIGEN INCLUYE HOSPITALIZACIÓN DE LARGA ESTANCIA PARA PACIENTES DEL GÉNERO FEMENINO. SEDE SAN JUAN DE PASTO NARIÑO) </t>
  </si>
  <si>
    <t>2635
05/07/2013
($127,500,000)
1363
11/03/2014
($722,500,000)
VIG.FUTURAS</t>
  </si>
  <si>
    <t>8905
13/12/2013
($127,500,000)
1796
11/03/2014
($722,500,000)
VIG FUTURAS</t>
  </si>
  <si>
    <t>NO HAY SOPORTE DE PAGOS.
CON ORDENANZA 141 DEL 03/12/2013 SE AUTORIZA VIGENCIAS FUTURAS POR VALOR DE $ 722,500,000</t>
  </si>
  <si>
    <t>PRESTACIÓN DE SERVICIOS DE BAJA COMPLEJIDAD EN EL DEPARTAMENTO DEL CAUCA EN 2013</t>
  </si>
  <si>
    <t>2013-019000-0025
10-13-380</t>
  </si>
  <si>
    <t>253
22/03/2013</t>
  </si>
  <si>
    <t>EMPRESA SOCIAL DEL ESTADO QUILISALUD/R.L. GUSTAVO ADOLFO GOMEZ LOPEZ</t>
  </si>
  <si>
    <t>PRESTAR SERVICIOS DE SALUD  CON ATRIBUTOS DE CALIDAD, CLASIFICADOS COMO DE BAJA COMPLEJIDAD DEVIDAMENTE HABILITADOS Y ACTIVOS PARA LA ATENCIÓN INTEGRAL DE LA POBLACIÓN POBRE NO AFILIADA AL SISTEMA DE SEGURIDAD EN SALUD, ASÍ COMO LA POBLACIÓN POBRE ASI COMO LA POBLACIÓN EN SITUACIÓN DE DESPLAZAMIENTO FORZADO QUE CUMPLA ESPECIFICAMENTE ESTA CONDICIÓN, QUE PERTENEZCA A LA PPNA Y PARA DAR CUMPLIMIENTO A FALLOS DE TUTELA, SIEMPRE Y CUANDO SEA COMPETENCIA DE LA SECRETARIA DE SALUD DEL CAUCA</t>
  </si>
  <si>
    <t>12 MESES-27 DIAS</t>
  </si>
  <si>
    <t>1461
22/03/2013
($70,000,000)
1578
28/02/2014
($35,000,000)</t>
  </si>
  <si>
    <t>ALVARO ALFONSO TOBON T.
NURY SHIRLEY HERRERA C,</t>
  </si>
  <si>
    <t xml:space="preserve">NO HAY SOPORTE DE APROBACIÓN DE GARANTÍA POR AMPLIACIÓN </t>
  </si>
  <si>
    <t>PRESTACIÓN DE SERVICIOS  DE BAJA COMPLEJIDAD</t>
  </si>
  <si>
    <t>SERVICIOS PRESTADOS SEGÚN FACTURAS DE JULIO A DICIEMBRE/2013</t>
  </si>
  <si>
    <t>415
05/08/2013</t>
  </si>
  <si>
    <t>EMPRESA SOCIAL DEL ESTADO CENTRO 2/R.L. YIYOLA YAMILE PEÑA RIOS</t>
  </si>
  <si>
    <t>12 MESES-16 DIAS</t>
  </si>
  <si>
    <t>2583
08/05/2013
($28,000,000)
1573
28/02/2014
($14,000,000)</t>
  </si>
  <si>
    <t>EXISTE RESOLUCIÓN 03503-04-13, MEDIANTE LA CUAL SE JUSTIFICA PROCESO DE CONTRATACION DIRECTA</t>
  </si>
  <si>
    <t>PRESTACIÓN DE SERVICIOS DE BAJA COMPLEJIDAD</t>
  </si>
  <si>
    <t>SERVICIOS PRESTADOS SEGÚN FACTURAS DE JUNIO A DICIEMBRE/2013</t>
  </si>
  <si>
    <t>424
15/05/2013</t>
  </si>
  <si>
    <t>EMPRESA SOCIAL DEL ESTADO GUAPI/R.L. ALVARO ALFONSO TOBON</t>
  </si>
  <si>
    <t>12 MESES 3 DIAS</t>
  </si>
  <si>
    <t>323
31/01/2013
($45,000,000)
1285
04/04/2013
($67,000,000)
1235
28/02/2014
($56,000,000)</t>
  </si>
  <si>
    <t>2717
15/05/2013
($45,000,000)
2718
15/05/2013
($67,000,000)
1565
28/02/2014
($56,000,000)</t>
  </si>
  <si>
    <t>EXISTE RESOLUCIÓN 03811-05-13, MEDIANTE LA CUAL SE JUSTIFICA PROCESO DE CONTRATACION DIRECTA</t>
  </si>
  <si>
    <t>425
15/05/2013</t>
  </si>
  <si>
    <t>EMPRESA SOCIAL DEL ESTADO POPAYAN/R.L. RODRIGO BERMUDEZ OSPINO</t>
  </si>
  <si>
    <t>13 MESES 1 DIA</t>
  </si>
  <si>
    <t>1292
04/04/2013
($436,000,000)
1240
28/02/2014
($218,000,000)</t>
  </si>
  <si>
    <t>2719
15/05/2013
($436,000,000)
1569
28/02/2014
($218,000,000)</t>
  </si>
  <si>
    <t xml:space="preserve">EXISTE RESOLUCIÓN 03805-05-13, MEDIANTE LA CUAL SE JUSTIFICA PROCESO DE CONTRATACION DIRECTA
</t>
  </si>
  <si>
    <t>SERVICIOS PRESTADOS SEGÚN FACTURASDE MAYO A DICIEMBRE/2013</t>
  </si>
  <si>
    <t>426
15/05/2013</t>
  </si>
  <si>
    <t>EMPRESA SOCIAL DEL ESTADO TIERRADENTRO/R.L. ELMER MUÑOZ ROSERO</t>
  </si>
  <si>
    <t>12 MESES 2 DIAS</t>
  </si>
  <si>
    <t xml:space="preserve">1293
04/04/2013
($37000000)
1241
28/02/2014
($18500000)
</t>
  </si>
  <si>
    <t>2722
15/05/2013
($37,000,000)
1570
28/02/2014
($18,500,000)</t>
  </si>
  <si>
    <t>EXISTE RESOLUCIÓN 03804-05-13, MEDIANTE LA CUAL SE JUSTIFICA PROCESO DE CONTRATACION DIRECTA</t>
  </si>
  <si>
    <t>SERVICIOS PRESTADOS SEGÚN FACTURASDE JUNIO/2013 A ENERO 2014</t>
  </si>
  <si>
    <t>430
17/05/2013</t>
  </si>
  <si>
    <t>EMPRESA SOCIAL DEL ESTADO NORTE 1/R.L. ARMANDO ZUÑIGA SANDOVAL</t>
  </si>
  <si>
    <t>12 MESES 29 DIAS</t>
  </si>
  <si>
    <t>1288
04/04/2013
($78,000,000)
1248
28/02/2014</t>
  </si>
  <si>
    <t>2740
17/05/2013
($78,000,000)
1577
28/02/2014
($39,000,000)</t>
  </si>
  <si>
    <t>EXISTE RESOLUCIÓN 03815-05-13, MEDIANTE LA CUAL SE JUSTIFICA PROCESO DE CONTRATACION DIRECTA</t>
  </si>
  <si>
    <t>435
21/05/2013</t>
  </si>
  <si>
    <t>EMPRESA SOCIAL DEL ESTADO OCCIDENTE/R.L. ALIRIO BARRIO BRAVO</t>
  </si>
  <si>
    <t>9 MESES 10 DIAS</t>
  </si>
  <si>
    <t>311
31/01/2013
($260,000,000)
1284
04/04/2013
($56,000,000)
1243
28/02/2014
($158,000,000)</t>
  </si>
  <si>
    <t>EXISTE RESOLUCIÓN 03810-05-13, MEDIANTE LA CUAL SE JUSTIFICA PROCESO DE CONTRATACION DIRECTA</t>
  </si>
  <si>
    <t>SERVICIOS PRESTADOS SEGÚN FACTURAS DE SEPTIEMBRE A DICIEMBRE/2013</t>
  </si>
  <si>
    <t>436
21/05/2013</t>
  </si>
  <si>
    <t>EMPRESA SOCIAL DEL ESTADO SUROCCIDENTE/R.L. FRANCISCO FONSECA AMARIC</t>
  </si>
  <si>
    <t>9 MESES 29 DIAS</t>
  </si>
  <si>
    <t>1290
04/04/2013
($37,000,000)
1239
28/02/2014
($18,500,000)</t>
  </si>
  <si>
    <t>2838
21/05/2013
($37,000,000)
1568
28/02/2014
($18,500,000)</t>
  </si>
  <si>
    <t>EXISTE RESOLUCIÓN 03806-05-13, MEDIANTE LA CUAL SE JUSTIFICA PROCESO DE CONTRATACION DIRECTA</t>
  </si>
  <si>
    <t>437
21/05/2013</t>
  </si>
  <si>
    <t>EMPRESA SOCIAL DEL ESTADO NORTE 3/R.L. JUAN CARLOS FONSECA DINAS</t>
  </si>
  <si>
    <t>12 MESES 23 DIAS</t>
  </si>
  <si>
    <t>1287
04/04/2013
($38,000,000)
1246
28/02/2014
($19,000,000)</t>
  </si>
  <si>
    <t>2839
21/05/2013
($38,000,000)
1575
28/02/2014
($19,000,000)</t>
  </si>
  <si>
    <t>EXISTE RESOLUCIÓN 03813-05-13, MEDIANTE LA CUAL SE JUSTIFICA PROCESO DE CONTRATACION DIRECTA</t>
  </si>
  <si>
    <t>443
22/05/2013</t>
  </si>
  <si>
    <t>EMPRESA SOCIAL DEL ESTADO SUROCCIDENTE/R.L. GUILLERMO ALBERTO GONZALEZ CERON</t>
  </si>
  <si>
    <t>10 MESES 28 DIAS</t>
  </si>
  <si>
    <t>1289
04/04/2013
($125,000,000)
1242
28/02/2014
($62,500,000)</t>
  </si>
  <si>
    <t>2846
22/05/2013
($125,000,000)
1571
28/02/2014
($62,500,000)</t>
  </si>
  <si>
    <t>EXISTE RESOLUCIÓN 03808-05-13, MEDIANTE LA CUAL SE JUSTIFICA PROCESO DE CONTRATACION DIRECTA</t>
  </si>
  <si>
    <t>SERVICIOS PRESTADOS SEGÚN FACTURAS DE AGOSTO A DICIEMBRE/2013</t>
  </si>
  <si>
    <t>444
22/05/2013</t>
  </si>
  <si>
    <t>EMPRESA SOCIAL DEL ESTADO NORTE 2/R.L. DIEGO FERNANDO BARONA LEGUIZAMON</t>
  </si>
  <si>
    <t>12 MESES 26 DIAS</t>
  </si>
  <si>
    <t>1294
04/04/2013
($126,000,000)
1247
28/02/2014
($63,000,000)</t>
  </si>
  <si>
    <t>2845
22/05/2013
($126,000,000)
1576
28/02/2014
($63,000,000)</t>
  </si>
  <si>
    <t>EXISTE RESOLUCIÓN 03814-05-2013, MEDIANTE LA CUAL SE JUSTIFICA PROCESO DE CONTRATACION DIRECTA</t>
  </si>
  <si>
    <t>451
23/05/2013</t>
  </si>
  <si>
    <t>EMPRESA SOCIAL DEL ESTADO CXAYUCE JXUT/R.L.ANGELICA AGUILAR RUGELES</t>
  </si>
  <si>
    <t>8 MESES 24 DIAS</t>
  </si>
  <si>
    <t>1286
04/04/2013
($23,000,000)
1234
28/02/2014
($11,500,000)</t>
  </si>
  <si>
    <t>2847
23/05/2013
($23,000,000)
1564
28/02/2014
($11,500,000)</t>
  </si>
  <si>
    <t>EXISTE RESOLUCIÓN 03812 -05-2013, MEDIANTE LA CUAL SE JUSTIFICA PROCESO DE CONTRATACION DIRECTA</t>
  </si>
  <si>
    <t>SERVICIOS PRESTADOS SEGÚN FACTURAS DE JUNIO A OCTUBRE/2013</t>
  </si>
  <si>
    <t>452
23/05/2013</t>
  </si>
  <si>
    <t>EMPRESA SOCIAL DEL ESTADO HOSPITAL EL TAMBO/R.L. EDGAR GERARDO VILLA</t>
  </si>
  <si>
    <t>12 MESES 24 DIAS</t>
  </si>
  <si>
    <t>1282
04/04/2013
($83,000,000)
1237
28/02/2014
($41,500,000)</t>
  </si>
  <si>
    <t>2872
23/05/2013
($83,000,000)
1567
28/02/2014
($41,500,000)</t>
  </si>
  <si>
    <t>EXISTE RESOLUCIÓN 03809-05-2013, MEDIANTE LA CUAL SE JUSTIFICA PROCESO DE CONTRATACION DIRECTA</t>
  </si>
  <si>
    <t>564
03/07/2013</t>
  </si>
  <si>
    <t>EMPRESA SOCIAL DEL ESTADO CENTRO 1/R.L. RODRIGO QUIÑONES</t>
  </si>
  <si>
    <t>10 MESES 29 DIAS</t>
  </si>
  <si>
    <t>1291
04/04/2013
($92,000,000)
1245
28/02/2014
($46,000,000)</t>
  </si>
  <si>
    <t>4037
03/07/2013
($92,000,000)
1574
28/02/2014
($46,000,000)</t>
  </si>
  <si>
    <t>EXISTE RESOLUCIÓN 03807-05-13, MEDIANTE LA CUAL SE JUSTIFICA PROCESO DE CONTRATACION DIRECTA</t>
  </si>
  <si>
    <t xml:space="preserve">EJECUCION </t>
  </si>
  <si>
    <t>ALVARO ALFONZO TOBON, NURY SHIRLEY HERRERA</t>
  </si>
  <si>
    <t>CONVOCATORIAS REALIZADAS, ACTAS DE REUNIONES , PLANES DE ACCION, PLANES DE CAPACITACION, REGISTRO FOTOGRAFICO, LISTAS DE ASISTENCIA, INFORME TECNICO Y DOCUMENTO TECNICO DE LAS ACTIVIDADES FINAL</t>
  </si>
  <si>
    <t xml:space="preserve"> VISITAS DE ASISTENCIA TECNICA PARA SOCIALIZAR EL PROGRAMA MADRE CANGURO  REALIZADAS; VISITAS, SEGUIMIENTO, Y EVALUACION DEL CUMPLIMIENTO DE ACTIVIDADES Y PRODUCTOS; APOYO EN LA ASISTENCIA TECNICA Y SEGUIMIENTO IPS, INFORME DE CALIDAD PROGRAMA MADRE CANGURO </t>
  </si>
  <si>
    <t xml:space="preserve">DOCUMENTOS PARA MANTENER LOGROS, Y MEJORAMIENTOS EN ESTRATEGIAS DE VACUNACION, DOCUMENTO ACTA COMITÉ LOCAL,  DOCUMENTO DEL DESARROLLO, IMPLEMENTACION Y EVALUACION DE ESTRATEGIAS POR MUNICIPIO-, DOCUMENTO DE LA ATENCION PRIMARIA EN SALUD;  PLATAFORMA DE COMUNICACION; DOCUMENTO CONFORMACION DE GRUPOS MULTIDISCIPLINARIO; SOPORTE FISICO Y AVALUACION DEL DESARROLLO DE LA ESTRATEGIA Y PLAN DE MEJORAMIENTO PARA LOS MUNICIPIOS </t>
  </si>
  <si>
    <t xml:space="preserve">DOCUMENTOS PARA MANTENER LOGROS, Y MEJORAMIENTOS EN ESTRATEGIAS DE VACUNACION, DOCUMENTO ACTA COMITÉ LOCAL,  DOCUMENTO DEL DESARROLLO, IMPLEMENTACION Y EVALUACION DE ESTRATEGIAS POR MUNICIPIO-, DOCUMENTO DE LA ATENCION PRIMARIA EN SALUD; DESARROLLO PLATAFORMA DE COMUNICACION; DOCUMENTO CONFORMACION DE GRUPOS MULTIDISCIPLINARIO; SOPORTE FISICO Y AVALUACION DEL DESARROLLO DE LA ESTRATEGIA Y PLAN DE MEJORAMIENTO PARA LOS MUNICIPIOS </t>
  </si>
  <si>
    <t xml:space="preserve">EVALUACION DE LA COBERTURA DE CADA PROGRAMA; INFORME TECNICO POR MUNICIPIO; INFORME ESTRATEGIAS DESARROLLADAS PARA LA PROMOCION DE HABITOS DE HIGIENE DE SALUD BUCAL; </t>
  </si>
  <si>
    <t xml:space="preserve">PLAN DE CAPACITACIONES; BASES DE DATOS COMUNITARIA;; ANALISIS INDICADORES; INFORME SEGUIMIENTOS HISTORIAS CLINICAS  </t>
  </si>
  <si>
    <t xml:space="preserve">INFORME DE POBLACION IDENTIFICADA Y CANALIZADA; BASES DE DATOS; INFORME DE RESULTADOS TAMIZAJES; INFORME ACCIONES DE COORDINACION; </t>
  </si>
  <si>
    <t xml:space="preserve">APOYAR EL FORTALECIMIENTO DE LA CAPACIDAD DE GESTIÓN EN SALUD PÚBLICA EN LOS MUNICIPIOS DE PÁEZ E INZA EN EL MARCO DE LA ESTRATEGIA DE APS ORIENTANDO LAS INTERVENCIONES EN SALUD INFANTIL PRIMERA INFANCIA SALUD SEXUAL Y REPRODUCTIVA SALUD ORAL ENFERMEDADES CRÓNICAS CON ENFOQUE DIFERENCIAL TERRITORIAL PSICOSOCIAL Y DE DETERMINANTES SOCIALES </t>
  </si>
  <si>
    <t xml:space="preserve">APOYAR EL FORTALECIMIENTO DE LA CAPACIDAD DE GESTIÓN EN SALUD PÚBLICA EN LOS MUNICIPIOS DE SILVIA MORALES PIENDAMO Y CAJIBIO EL MARCO DE LA ESTRATEGIA DE APS ORIENTANDO LAS INTERVENCIONES EN SALUD INFANTIL PRIMERA INFANCIA SALUD SEXUAL Y REPRODUCTIVA SALUD ORAL ENFERMEDADES CRÓNICAS CON ENFOQUE DIFERENCIAL TERRITORIAL PSICOSOCIAL Y DE DETERMINANTES SOCIALES </t>
  </si>
  <si>
    <t>APOYAR EL  FORTALECIMIENTO DE LA CAPACIDAD DE GESTIÓN EN SALUD PÚBLICA EN LOS MUNICIPIOS  DE LA SIERRA, ROSAS, SOTARA EN EL MARCO DE LA ESTRATEGIA DE ATENCIÓN PRIMARIA EN SALUD APS, ORIENTANDO LAS INTERVENCIONES EN SALUD INFANTIL,  SALUD ORAL, ENFERMEDADES CRÓNICAS CON ENFOQUE DIFERENCIAL, TERRITORIAL, PSICOSOCIAL Y DE DETERMINANTES SOCIALES.</t>
  </si>
  <si>
    <t>PRESTAR SERVICIOS PROFESIONALES COMO APOYO AL PROGRAMA MADRE CANGURO EN EL MARCO DE LA ESTRATEGIA DE ATENCIÓN PRIMARIA EN SALUD  EN LOS MUNICIPIOS DE SANTANDER, PUERTO TEJADA, PATÍA, SANTA ROSA, SAN SEBASTIÁN,  CALDONO, PADILLA, VILLA RICA, BUENOS AIRES, CORINTO, MIRANDA, SUAREZ, CORINTO, LÓPEZ DE MICAY Y TIMBIQUÍ EN EL DEPARTAMENTO DEL CAUCA, DE CONFORMIDAD CON LOS ESTUDIOS Y DOCUMENTOS PREVIOS ELABORADOS POR LA ENTIDAD Y LA PROPUESTA PRESENTADA POR EL CONTRATISTA</t>
  </si>
  <si>
    <t>APOYAR EL  FORTALECIMIENTO DE LA CAPACIDAD DE GESTIÓN EN SALUD PÚBLICA EN LOS MUNICIPIOS  DE POPAYÁN, TOTORÓ, PURACÉ, CALDONO, PIAMONTE EN EL MARCO DE LA ESTRATEGIA DE ATENCIÓN PRIMARIA EN SALUD  APS, ORIENTANDO LAS INTERVENCIONES EN SALUD INFANTIL, PRIMERA INFANCIA, SALUD SEXUAL Y REPRODUCTIVA, SALUD ORAL,   ENFERMEDADES CRÓNICAS CON ENFOQUE DIFERENCIAL, TERRITORIAL, PSICOSOCIAL Y DE DETERMINANTES SOCIALES</t>
  </si>
  <si>
    <t xml:space="preserve">APOYAR EL FORTALECIMIENTO DE LA CAPACIDAD DE GESTIÓN EN SALUD PÚBLICA EN LOS MUNICIPIOS DE TORIBIO Y JAMBALÓ EN EL MARCO DE LA ESTRATEGIA DE APS ORIENTANDO LAS INTERVENCIONES EN SALUD INFANTIL SALUD SEXUAL Y REPRODUCTIVA SALUD MENTAL ENFERMEDADES CRÓNICAS CON ENFORQUE DIFERENCIAL TERRITORIAL  PSICOSOCIAL Y DE DETERMINANTES SOCIALES </t>
  </si>
  <si>
    <t>APOYAR EL FORTALECIMIENTO DE LA CAPACIDAD DE GESTIÓN EN SALUD PÚBLICA EN LOS MUNICIPIO EL BORDO EN EL MARCO DE LA ESTRATEGIA DE APS ORIENTANDO EN LAS INTERVENCIONES EN SALUD INFANTIL PRIMERA INFANCIA SALUD SEXUAL Y REPRODUCTIVA SALUD ORAL ENFERMEDADES CRÓNICAS CON ENFOQUE DIFERENCIAL TERRITORIAL PSICOSOCIAL Y DE DETERMINANTES SOCIALES</t>
  </si>
  <si>
    <t>APOYAR EL FORTALECIMIENTO DE LA CAPACIDAD DE GESTIÓN EN SALUD PÚBLICA EN LOS MUNICIPIOS ARGELIA, BALBOA, BOLIVAR, FLORENCIA, MERCADERES Y SUCRE EN EL MARCO DE LA ESTRATEGIA DE APS ORIENTANDO EN LAS INTERVENCIONES EN SALUD INFANTIL PRIMERA INFANCIA SALUD SEXUAL Y REPRODUCTIVA SALUD ORAL, SALUD MENTAL ENFERMEDADES CRÓNICAS CON ENFOQUE DIFERENCIAL TERRITORIAL PSICOSOCIAL Y DE DETERMINANTES SOCIALES</t>
  </si>
  <si>
    <t>PRESTAR SERVICIOS PROFESIONALES COMO APOYO AL PROGRAMA MADRE CANGURO EN EL MARCO DE LA ESTRATEGIA DE ATENCIÓN PRIMARIA EN SALUD  EN EL DEPARTAMENTO DEL CAUCA, DE CONFORMIDAD CON LOS ESTUDIOS Y DOCUMENTOS PREVIOS ELABORADOS POR LA ENTIDAD Y LA PROPUESTA PRESENTADA POR EL CONTRATISTA</t>
  </si>
  <si>
    <t>APOYAR EL  FORTALECIMIENTO DE LA CAPACIDAD DE GESTIÓN EN SALUD PÚBLICA EN LOS MUNICIPIOS  DE EL TAMBO EN EL MARCO DE LA ESTRATEGIA DE ATENCIÓN PRIMARIA EN SALUD  APS, ORIENTANDO LAS INTERVENCIONES EN SALUD INFANTIL, PRIMERA INFANCIA, SALUD SEXUAL Y REPRODUCTIVA, SALUD ORAL,   ENFERMEDADES CRÓNICAS CON ENFOQUE DIFERENCIAL, TERRITORIAL, PSICOSOCIAL Y DE DETERMINANTES SOCIALES</t>
  </si>
  <si>
    <t xml:space="preserve">APOYAR EL FORTALECIMIENTO DE LA CAPACIDAD DE GESTIÓN EN SALUD PÚBLICA EN LOS MUNICIPIOS DE TIMBIQUI Y LÓPEZ DE MICAY EN EL MARCO DE LA ESTRATEGIA DE APS ORIENTANDO LAS INTERVENCIONES EN SALUD INFANTIL SALUD SEXUAL Y REPRODUCTIVA SALUD MENTAL ENFERMEDADES CRÓNICAS CON ENFORQUE DIFERENCIAL TERRITORIAL  PSICOSOCIAL Y DE DETERMINANTES SOCIALES </t>
  </si>
  <si>
    <t xml:space="preserve">APOYAR EL FORTALECIMIENTO DE LA CAPACIDAD DE GESTIÓN EN SALUD PÚBLICA EN LOS MUNICIPIOS DE LA VEGA ALMAGUER SAN SEBASTIAN SANTA ROSA EN EL MARCO DE LA ESTRATEGIA DE APS ORIENTANDO LAS INTERVENCIONES EN SALUD INFANTIL SALUD SEXUAL Y REPRODUCTIVA SALUD MENTAL ENFERMEDADES CRÓNICAS CON ENFORQUE DIFERENCIAL TERRITORIAL  PSICOSOCIAL Y DE DETERMINANTES SOCIALES </t>
  </si>
  <si>
    <t xml:space="preserve">APOYAR EL FORTALECIMIENTO DE LA CAPACIDAD DE GESTIÓN EN SALUD PÚBLICA EN LOS MUNICIPIOS DE PAEZ E INZA EN EL MARCO DE LA ESTRATEGIA DE APS ORIENTANDO LAS INTERVENCIONES EN SALUD INFANTIL PRIMERA INFANCIA SALUD SEXUAL Y REPRODUCTIVA SALUD ORAL ENFERMEDADES CRÓNICAS CON ENFOQUE DIFERENCIAL TERRITORIAL PSICOSOCIAL Y DE DETERMINANTES SOCIALES </t>
  </si>
  <si>
    <t>AUNAR ESFUERZOS ECONÓMICOS ADMINISTRATIVOS Y FINANCIEROS PARA IMPLEMENTAR ESTRATEGIAS CON ENFOQUE DIFERENCIAL E INTERCULTURAL EN EL MARCO DEL SISPI CON LOS PUEBLOS INDIGENAS DEL CRIC PARA MEJORAR LA SALUD SEXUAL Y REPRODUCTIVA LA SALUD ORAL Y EL APOYO A POBLACIONES ESPECIALES DE CONFORMIDAD CON LOS ESTUDIOS PREVIOS ELABORADOS POR EL DEPARTAMENTO DEL CAUCA</t>
  </si>
  <si>
    <t>APOYAR EN EL FORTALECIMIENTO DE LOS PROGRAMAS DE SALUD SEXUAL Y REPRODUCTIVA EN LOS MUNICIPIOS DE SANTANDER TORIBIO CALOTO CALDONO GUACHENE CORINTO MIRANDAPUERTO TEJADA PADILLA VILLA RICA  BUENOS AIRES Y SUAREZ Y SALUD ORAL Y ENFERMEDADES TRANSMITIDAS POR VECTORES EN EL MUNICIPIO DE SANTANDER</t>
  </si>
  <si>
    <t>REALIZAR ACTIVIDADES PARA EL FORTALECIMIENTO DE LAS ESTRATEGIAS DE SALUD SEXUAL Y REPRODUCTIVA CON ENFOQUE INTERCULTURAL Y EN EL MARCO DE APS (SERVICIOS AMIGABLES, MATERNIDAD SEGURA Y CÁNCER DE CUELLO UTERINO Y MAMA, ITS-VIH), EN EL RESGUARDO INDÍGENA DE GUAMBIA, DE CONFORMIDAD CON LOS ESTUDIOS Y DOCUMENTOS PREVIOS ELABORADOS POR LA ENTIDAD Y LA PROPUESTA PRESENTADA POR EL CONTRATISTA</t>
  </si>
  <si>
    <t xml:space="preserve">APOYAR EL FORTALECIMIENTO DE LA CAPACIDAD DE GESTIÓN EN SALUD PÚBLICA EN LOS MUNICIPIOS DE TIMBIQUI Y LÓPEZ DE MICAY EN EL MARCO DE LA ESTRATEGIA DE APS ORIENTANDO LAS INTERVENCIONES EN SALUD INFANTIL SALUD SEXUAL Y REPRODUCTIVA SALUD MENTAL ENFERMEDADES CRÓNICAS CON ENFORQUE DIFERENCIAL TERRITORIAL  PSICOSOCIAL Y DE DETERMINANTES SOCIALES  </t>
  </si>
  <si>
    <t>AUNAR ESFUERZOS ADMINISTRATIVOS TÉCNICOS Y FINANCIEROS PARA IMPLEMENTAR UNA ESTRATEGIA CON ENFOQUE DIFERENCIAL E INTERCULTURAL CON LOS PUEBLOS INDÍGENAS DEL CRIC PARA DINAMIZAR EL AUTORECONOCIMIENTO DEL CUERPO DE LAS MUJERES INDÍGENAS PARA EL EJERCICIO PLENO DE LOS DERECHOS SEXUALES Y REPRODUCTIVOS DESDE LA COSMOVISIÓN DE CADA PUEBLO Y SUS PRÁCTICAS CULTURALES</t>
  </si>
  <si>
    <t xml:space="preserve">APOYAR EL FORTALECIMIENTO DE LA CAPACIDAD DE GESTIÓN EN SALUD PÚBLICA EN LOS MUNICIPIOS DE SILVIA, MORALES, PIENDAMO Y CAJIBIO EL MARCO DE LA ESTRATEGIA DE APS ORIENTANDO LAS INTERVENCIONES EN SALUD INFANTIL PRIMERA INFANCIA SALUD SEXUAL Y REPRODUCTIVA SALUD ORAL ENFERMEDADES CRÓNICAS CON ENFOQUE DIFERENCIAL TERRITORIAL PSICOSOCIAL Y DE DETERMINANTES SOCIALES </t>
  </si>
  <si>
    <t>APOYAR EL  FORTALECIMIENTO DE LA CAPACIDAD DE GESTIÓN EN SALUD PÚBLICA EN LOS MUNICIPIOS  DE EL TAMBO EN EL MARCO DE LA ESTRATEGIA DE ATENCIÓN PRIMARIA EN SALUD  APS, ORIENTANDO LAS INTERVENCIONES EN SALUD INFANTIL, PRIMERA INFANCIA, SALUD SEXUAL Y REPRODUCTIVA, SALUD ORAL,   ENFERMEDADES CRÓNICAS CON ENFOQUE DIFERENCIAL, TERRITORIAL, PSICOSOCIAL Y DE DETERMINANTES SOCIALESs</t>
  </si>
  <si>
    <t>APOYAR EL  FORTALECIMIENTO DE LA CAPACIDAD DE GESTIÓN EN SALUD PÚBLICA EN LOS MUNICIPIOS  DE PUERTO TEJADA VILLA RICA Y PADILLA EN EL MARCO DE LA ESTRATEGIA DE ATENCIÓN PRIMARIA EN SALUD  APS, ORIENTANDO LAS INTERVENCIONES EN SALUD INFANTIL, PRIMERA INFANCIA, SALUD SEXUAL Y REPRODUCTIVA, SALUD ORAL,   ENFERMEDADES CRÓNICAS CON ENFOQUE DIFERENCIAL, TERRITORIAL, PSICOSOCIAL Y DE DETERMINANTES SOCIALES</t>
  </si>
  <si>
    <t>APOYAR EL FORTALECIMIENTO DE LA CAPACIDAD DE GESTIÓN EN SALUD PÚBLICA EN LOS MUNICIPIOS DE BUENOS AIRES Y SUAREZ EN EL MARCO DE LA ESTRATEGIA DE APS ORIENTANDO EN LAS INTERVENCIONES EN SALUD INFANTIL PRIMERA INFANCIA SALUD SEXUAL Y REPRODUCTIVA SALUD ORAL ENFERMEDADES CRÓNICAS CON ENFOQUE DIFERENCIAL TERRITORIAL PSICOSOCIAL Y DE DETERMINANTES SOCIALES</t>
  </si>
  <si>
    <t>PRESTAR SERVICIOS DE APOYO A LA GESTIÓN AL PROGRAMA DE CONTROL DE TUBERCULOSIS DE LA SECRETARÍA DE SALUD DEPARTAMENTAL, EN EL MUNICIPIO DE TIMBIO,  DE CONFORMIDAD CON LOS ESTUDIOS Y DOCUMENTOS PREVIOS ELABORADOS POR LA ENTIDAD</t>
  </si>
  <si>
    <t>PRESTAR SERVICIOS DE APOYO A LA GESTIÓN AL PROGRAMA DE CONTROL DE TUBERCULOSIS DE LA SSD EN EL MUNICIPIO DE SANTANDER DE QUILICHAO DE CONFORMIDAD CON LOS ESTUDIOS</t>
  </si>
  <si>
    <t>PRESTAR SERVICIOS DE APOYO A LA GESTIÓN AL PROGRAMA DE CONTROL DE TUBERCULOSIS DE LA SECRETARÍA DE SALUD DEPARTAMENTAL, EN EL ESTABLECIMIENTO PENITENCIARIO DE ALTA Y MEDIANA SEGURIDAD Y CARCELARIO CON ALTA SEGURIDAD DEL MUNICIPIO DE POPAYÁN, DE CONFORMIDAD CON LOS ESTUDIOS Y DOCUMENTOS PREVIOS ELABORADOS POR LA ENTIDAD.</t>
  </si>
  <si>
    <t xml:space="preserve">PRESTACION DE SERVICIOS PROFESIONALES POR INVENTORIA TECNICA, FINANCIERA Y ADMINISTRATIVA </t>
  </si>
  <si>
    <t>ADECUACION Y MEJORAMIENTO DE INFRAESTRUCTURA PARA LA PRESTACION DE SERVICIOS DE SALUD EN EL HOSPITAL NIVEL 1  DE LOPEZ DE MICAY DEPARTAMENTO DEL CAUCA</t>
  </si>
  <si>
    <t>AUNAR ESFUERZOS TECNICOS Y ADMINISTRATIVOS PARA EJECUTAR EL PROYECTO: ADECUACION Y MEJORAMIENTO DE INFRAESTRUCTURA PARA LA PRESTACION DE SERVICIOS DE SALUD EN EL HOSPITAL NIVEL 1  DE LOPEZ DE MICAY DEPARTAMENTO DEL CAUCA</t>
  </si>
  <si>
    <t xml:space="preserve"> AVANZAR CON LA EJECUCION DEL PROGRAMA PANES, REALIZANDO ACCIONES DE ASISTENCIA TECNICA EN LA PRODUCCION DE ALIMENTOS Y SEGUIMIENTO NUTRICIONAL A GRUPOS DE MAS ALTA VULNERABILIDAD EN LA ZONA DE INFLUENCIA DE COLEGIOS AGROPECUARIOS Y OTRAS ESCUELAS RURALES DE 39 MUNICIPIOS PARA LA COMPLEMENTACION ALIMENTARIA CON ALIMENTO DE ALTO CONTENIDO NUTRICIONAL A FAMILIAS CON NIÑAS Y NIÑOS MENORES DE CINCO AÑOS Y ESCOLARES ADEMAS DE LA REALIZACION DE CINCO ENCUENTROS REGIONALES DE CAPACITACION EN INTERPRETACION Y ANALISIS DE DATOS DEL SISTEMA DE VIGILANCIA NUTRICIONAL EN 5 REGIONES DEL DEPARTAMENTO</t>
  </si>
  <si>
    <t xml:space="preserve"> EJECUCION DEL PROGRAMA PANES, REALIZACION DE ACCIONES DE ASISTENCIA TECNICA EN LA PRODUCCION DE ALIMENTOS Y SEGUIMIENTO NUTRICIONAL A GRUPOS DE MAS ALTA VULNERABILIDAD EN LA ZONA DE INFLUENCIA DE COLEGIOS AGROPECUARIOS Y OTRAS ESCUELAS RURALES DE 39 MUNICIPIOS PARA LA COMPLEMENTACION ALIMENTARIA CON ALIMENTO DE ALTO CONTENIDO NUTRICIONAL A FAMILIAS CON NIÑAS Y NIÑOS MENORES DE CINCO AÑOS Y ESCOLARES. ADEMAS  DE CINCO ENCUENTROS REGIONALES REALIZADOS DE CAPACITACION EN INTERPRETACION Y ANALISIS DE DATOS DEL SISTEMA DE VIGILANCIA NUTRICIONAL EN 5 REGIONES DEL DEPARTAMENTO</t>
  </si>
  <si>
    <t>FORTALECIMIENTO DE LA CAPACIDAD DE GESTIÓN EN SALUD PÚBLICA EN LOS MUNICIPIOS DE POPAYAN, TOTORO, PURACE, CALDONO, PIAMONTE EN EL MARCO DE LA ESTRATEGIA DE ATENCION PRIMARIA EN SALUD SEXUAL Y REPRODUCTIVA, SALUD ORAL, ENFERMEDADES CRÓNICAS CON ENFOQUE DIFERENCIAL , TERRITORIAL, PSICOSOCIAL, Y DE DETERMIANATES SOCIALES</t>
  </si>
  <si>
    <t xml:space="preserve"> IMPLEMENTACION DE UNA ESTRATEGIA CON ENFOQUE DIFERENCIAL E INTERCULTURAL CON LOS PUEBLOS INDIGENAS DEL CABILDO INDIGENA DE GUAMBIA PARA MEJORAR LA NUTRICIÓN DEL PUEBLO MISAK EN EL MARCO DEL SISPI EN EL RESGUARDO INDIGENA DE GUAMBIA CON ACCIONES DE ALIMENTACIÓN SALUDABLE Y FORTALECIMIENTO DEL AMBIENTE DE VIDA</t>
  </si>
  <si>
    <t xml:space="preserve"> IMPLEMENTACION DE  UNA ESTRATEGIA CON ENFOQUE DIFERENCIAL E INTERCULTURAL CON LOS PUEBLOS INDIGENAS DEL CABILDO INDIGENA DE GUAMBIA PARA PROMOCIONAR NUTRICIÓN DEL PUEBLO MISAK SIERRA MORENA A TRAVES DE LA ENSEÑANZA Y PREPARACIÓN DE ALIMENTOS PROPIOS EN EL MARCO DE LA SOBERANIA ALIMENTARIA  CON ENCUENTROS COMUNITARIOS DE SEMILLAS YATULES ADEMÁS DE LA ELABORACIÓN DE MATERIAL DIDACTICO AUDIOVISUAL Y SOCIALIZACIÓN DE  UNA ESTRATEGIA DE COMUNICACIÓIN QUE PERMITA RECUPERAR Y FORTALECER LA NUTRICIÓN PROPIA</t>
  </si>
  <si>
    <t xml:space="preserve"> IMPLEMENTACION DE UNA ESTRATEGIA CON ENFOQUE DIFERENCIAL E INTERCULTURAL CON LOS PUEBLOS INDIGENAS  DEL CRIC PARA REALIZAR ACCIONES DE FORTALECIMIENTO DE LA ATENCIÓN PRIMARIA  EN SALUD EN LAS LINEAS DE SEGURIDAD ALIMENTARIA Y NUTRICIONAL SALUD SEXUAL  Y REPRODUCTIVA A TRAVÉS DEL CUIDADO DE LA GESTACIÓN PARTO Y PUERPERIO MEDIANTE PROCESOS EN POBLACIÓN ESPECIAL CON CARACTER DIFERENCIAL ÉTNICO INDIGENA</t>
  </si>
  <si>
    <t xml:space="preserve"> EQUIPOS DE COMPUTO, MESAS Y SILLAS. 2 PORTATILES Y 1 IMPRESORA MULTIUSOS</t>
  </si>
  <si>
    <t xml:space="preserve">1.REUNION CONSEJO DEPARTAMENTAL
2.  OPERATIVIZACION DER EL COMITÉ DE ADULTO MAYOR (PADILLA,  PAEZ,  SUCRE,  PUERTO TEJADA ,  SILVIA,  MERCADERES , PIENDAMO, LA VEGA, ALMAGUER)
3. TALLER SOBRE POLITICA PUBLICA PARA EL ADULTO MAYOR DEL DEPARTAMENTO (MERCADERES, ALMAGUER, BOLIVAR )
4. TALLER SOBRE ABUSO Y MALTRATO SOBRE LA VEJEZ (MORALES, CALDONO)
5. ENCUENTRO INTERGENERACIONAL (PIENDAMO)
6. MESA DE TRABAJO SOBRE PROTECCION SOCIAL INTEGRAL CON PERSONAS MAYORES (BOLIVAR)
</t>
  </si>
  <si>
    <t xml:space="preserve"> KITS DEPORTIVOS Y MATERIAL DIDACTICO. INSTRUCTOR ACTIVIDAD FUSICA Y RECREACION  EN LOS MUNICIPIOS DE PAEZ, TIMBIO, BOLIVAR, PIENDAMO,  MERCADERES,  MORALES, ALMAGUER Y CALDONO. </t>
  </si>
  <si>
    <t xml:space="preserve">1. CONSEJO DE POLITICA SOCIAL
2. REVISION Y AJUSTE DE ACTUALIZACION EN LA CONFORMACION Y OPERATIVIZACION DEL CONSEJO DE POLITICA SOCIAL DEPARTAMENTAL
3.  MESA DE INFANCIA Y ADOLECENCIA DEPARTAMENTAL 
4. INFORME A LA ASAMBLEA DEPARTAMENTAL DEL CAUCA SOBRE INFANCIA Y ADOLECENCIA 
5. SESIONES INTERINSTITUCIONALES DE ACOMPAÑAMIENTO Y SEGUIMIENTO A LA FORMULACION DE LA POLITICA PUBLICA DE INFANCIA Y ADOLECENCIA EN EL DEPARTAMENTO 
6. ARTICULACION Y CONCERTACION DE LOS PROGRAMAS DE INFANCIA Y ADOLENCENCIA EN EL ENTE TERRITORIAL CON ENTIDADES NACIONALES, DEPARTAMENTALES Y DE COOPERACION. 
7. SEGUIMIENTO Y ARTICULACION A LA ORGANIZACION Y MONTALE INSTITUCIONALES DEL PROYECTO: IMPLEMENTACION DE ACCIONES PARA EL FORTALECIMIENTO DEL PROYECTO PARA LA INFANCIA Y ADOLECENCIA EN EL DEPARTAMENTO, CAUCA
8.  SEGUIMIENTO A LA PROMOCION DEL PROYECTO INDICADO CONSTATANDO LA DIVULGACION Y CONVOCATORIA A LA COMUNIDAD 
9.  ACOMPAÑAMIENTO, ARTICULACION Y SEGUIMIENTO AL PROCFESO DE CAPACITACION  A TRAVES DE LA SOCIALIZACION DEL PROYECTO.
10. ELABORACION DE INFORMES Y DOCUMENTOS PARA LA SUTENTACION DE LOS PROGRAMAS DE INFANCIA Y ADOLECENCIA DEL DEPARATAMENTO </t>
  </si>
  <si>
    <t>SEGUNDA SESIÓN CONSEJO POLITICA SOCIAL DEPARTAMENTO DEL CAUCA EFECTUADA; REVISIÓN DEL ACTA DEL PRIMER CONSEJO DE POLITICA SOCIAL REALIZADA, COORDINACIÓN DE LOS PROGRAMAS DE INFANCIA, ADOLESCENCIA Y JUVENTUD; SEGUNDO  CONSEJO DE POLITICA SOCIAL 2013; FORTALECIMIENTO DE LA CONCERTACIÓN Y COORDINACIÓN CON EL ICBF Y DEMAS ENTIDADES PARA AVANZAR EN LA IMPLEMENTACIÓN DE LOS PROGRAMAS EN LA ATENCIÓN INTEGRAL DE NIÑOS ADOLESCENTES Y JOVENES</t>
  </si>
  <si>
    <t xml:space="preserve">IDENTIFICACION DE BENEFICIARIOS UNIDOS DE LOS MUNICIPIOS DE LA COSTA PACIFICA </t>
  </si>
  <si>
    <t>2013-019000-0144
14-13-632</t>
  </si>
  <si>
    <t xml:space="preserve">IMPLEMENTACION DEL PLAN LA SUPERACION DE LA POBREZA EN CONCURRENCIA CON LA ESTRATEGIA UNIDOS </t>
  </si>
  <si>
    <t xml:space="preserve">SUPERACION DE LA POBREZA </t>
  </si>
  <si>
    <t>SALUD</t>
  </si>
  <si>
    <t xml:space="preserve">
CONVENIO 1197
CONTRATO DE OBRA 195</t>
  </si>
  <si>
    <t>CONVENIO 1197
CONTRATO DE OBRA 192</t>
  </si>
  <si>
    <t>CONVENIO 1195
CONTRATO DE OBRA 194</t>
  </si>
  <si>
    <t>CONVENIO 1195
CONTRATO DE OBRA 192</t>
  </si>
  <si>
    <t>VALOR CONVENIO: $ 355.000.000
OBRA: $331.775.000
INTERVENTORIA: $ 23.224.220
SALDO A FAVOR DEL DAPARTAMENTO $ 780</t>
  </si>
  <si>
    <t>VALOR CONVENIO: $ 354.799.950
OBRA: $336.000.000
INTERVENTORIA: $ 18.128.456
SALDO A FAVOR DEL DEPARATAMENTO $671.494</t>
  </si>
  <si>
    <t>EL SGP APORTA $ 3.750.000 
CAMPAÑA    ANTITUBERCULOSIS     $  1.500.000
SOLO APARECE TERCER PAGO</t>
  </si>
  <si>
    <t xml:space="preserve">NO APARECE LA ACTA DE INICIO, PERO SI LOS PAGOS </t>
  </si>
  <si>
    <t>EJECUCUON</t>
  </si>
  <si>
    <t>2013-019000-0017
10-13-371</t>
  </si>
  <si>
    <t xml:space="preserve">671
06/08/13
</t>
  </si>
  <si>
    <t>700
12/08/13</t>
  </si>
  <si>
    <t xml:space="preserve">EMPRESA SOCIAL DEL ESTADO  OCCIDENTE </t>
  </si>
  <si>
    <t xml:space="preserve">EMPRESA SOCIAL DEL ESTADO OCCIDENTE </t>
  </si>
  <si>
    <t>Del CDP 2447 por valor de $ 60.000.000 son              $ 20.000.000 para mama y $ 40.000.000 para PSIS
$152.000.000 que aporta la Gobernación más          
$16.726.800 aporte del Consejo Regional Indigena del cauca</t>
  </si>
  <si>
    <t>2qq</t>
  </si>
  <si>
    <t>324
11/01/2013
($70,000,000)
1249
28/02/2014
($35,000,000)</t>
  </si>
  <si>
    <t xml:space="preserve">1283
31/01/2013
($28,000,000)
1244
28/02/2014
($14,000,000) </t>
  </si>
  <si>
    <t>2841
21/05/2013
($260,000,000)
5908
10/09/2013
($56,000,000)
1572
28/02/2014
($158,000,000)</t>
  </si>
  <si>
    <t>1MES</t>
  </si>
  <si>
    <t>DIVERSIDAD</t>
  </si>
  <si>
    <t xml:space="preserve">DIVERSIDAD </t>
  </si>
  <si>
    <t xml:space="preserve">Sin Contrato </t>
  </si>
  <si>
    <t xml:space="preserve">CALIDAD EDUCATIVA </t>
  </si>
  <si>
    <t xml:space="preserve">CAPACITACION Y FORMACION </t>
  </si>
  <si>
    <t>2013-019000-0029
03-13-331</t>
  </si>
  <si>
    <t>738
20/08/2013</t>
  </si>
  <si>
    <t>CAJA DE COMPENSACION FAMILIAR CAUCA</t>
  </si>
  <si>
    <t>PRESTAR EL SERVICIO DE ORGANIZACIÓN LOGISTICA DE LAS ACTIVIDADES RELACIONADAS CON LA REALIZACION DE FOROS EDUCACTIVOS DEPARTAMENTALES 2013 DENOMINADO "MODERNIZACION DE LA EDUCACION MEDIA Y TRANSITO A LA EDUCACION TERCERIA"</t>
  </si>
  <si>
    <t>3010
26/06/2013</t>
  </si>
  <si>
    <t>5320
20/08/2013</t>
  </si>
  <si>
    <t xml:space="preserve">MARITZA CABALLOS </t>
  </si>
  <si>
    <t xml:space="preserve">PROCESO MINIMA CUANTIA </t>
  </si>
  <si>
    <t xml:space="preserve">ORGANIZACIÓN Y DIFUSION DEL FORO;  FORO EDUCATIVO; EVALUACION EXPERENCIAS; SENSIBILIZACION A LA COMUNIDAD EDUCATIVA EN TORNO ALA CALIDAD EDUCATIVA </t>
  </si>
  <si>
    <t>GESTION EDUCATIVA</t>
  </si>
  <si>
    <t xml:space="preserve">FORTALECIMIENTO DE LA GESTION INSTITUCIONAL DE LOS ESTABLECIMIENTO EDUCATIVOS </t>
  </si>
  <si>
    <t xml:space="preserve">2013-019000-0091
03-13-596
</t>
  </si>
  <si>
    <t>964
04/10/2013</t>
  </si>
  <si>
    <t xml:space="preserve">FUNDACION LLEVANT EN MARXA PARA LOS NIÑOS MARGINADOS </t>
  </si>
  <si>
    <t xml:space="preserve">PRESTAR EL SERVICIO DE ORGANIZACIÓN LOGISTICA RELACIONADOS CON LA CAPACITACION DE LA INDUCCION Y REINDUCCION DIRIGIDA A DOCENTES DIRECTIVOS DE LA COSTA PACIFICA DEL DEPARATAMENTO </t>
  </si>
  <si>
    <t>8 DIAS</t>
  </si>
  <si>
    <t>3959
27/09/2013</t>
  </si>
  <si>
    <t>6586
04/10/2013</t>
  </si>
  <si>
    <t>KAREN VIVIANA PEREZ</t>
  </si>
  <si>
    <t>ORGANIZACIÓN LOGISTICA</t>
  </si>
  <si>
    <t>1255
29/1/2013</t>
  </si>
  <si>
    <t>2013-019000-0064
03-13-354</t>
  </si>
  <si>
    <t>FUNDACION CENTROS DE APRENDIZAJE NEUROHARTE</t>
  </si>
  <si>
    <t xml:space="preserve">PRESTAR APOYO PEDAGIGICO, ACOMPAÑAMIENTO Y CAPACITACION PEGAGOGICA ESPECIALIZADA A LOS DOCENTES DE APOYO, DIRECTIVO, DOCENTES DE AULAS, Y FAMILIAS PARA ATENDER CON CALIDAD, EQUIDAD Y PERTENENCIA A LOS NIÑOS Y NIÑAS, ADOLESCENTES CON NECESIDADES EDUCATIVAS ESPECIALIZADAS </t>
  </si>
  <si>
    <t xml:space="preserve">15
02/01/2014
8447
29/11/2013
</t>
  </si>
  <si>
    <t>FABIOLA GRIJALBA</t>
  </si>
  <si>
    <t>LICITACION PUBLICA</t>
  </si>
  <si>
    <t xml:space="preserve">APOYO PEDAGOGICO Y CAPACITACION PEDAGOGICA A DOCENTES </t>
  </si>
  <si>
    <t xml:space="preserve">APOYO PEDAGOGICO </t>
  </si>
  <si>
    <t>3533
29/08/2013
132
02/01/2013
ADICION 2172
12/03/2014
416.207.178</t>
  </si>
  <si>
    <t>2013-019000-0052
15-13-426</t>
  </si>
  <si>
    <t xml:space="preserve">ORGANIZACIÓN Y FORTALECIMIENTO INSTITUCIONAL DEL SECTOR </t>
  </si>
  <si>
    <t xml:space="preserve">APOYO A LA RECREACION Y FORTALECIMIENTO DE LAS INSTITUCIONES Y SECRETARIAS MUNICIPALES DEL DEPORTE EN LOS MUNICIPIOS DEL DEPARTAMENTO </t>
  </si>
  <si>
    <t>106
04/06/2013</t>
  </si>
  <si>
    <t>105
04/06/2013</t>
  </si>
  <si>
    <t>119
12/06/2013</t>
  </si>
  <si>
    <t>LUCY CRISTINA REBELLON MENDEZ</t>
  </si>
  <si>
    <t xml:space="preserve">ANGELA MARCELA DIAZ LOPEZ </t>
  </si>
  <si>
    <t>GLORIA XIMENA GONZALES BARRERA</t>
  </si>
  <si>
    <t>FUNDACION REDES</t>
  </si>
  <si>
    <t xml:space="preserve">PRESTACION DE SERVICIOS COMO COORDINADOR GENERAL (CAUCA) AL PROYECTO "APOYO DE ASISTENCIA DEPORTIVA A LOS MUNICIPIOS DEL DEPARTAMENTO DEL CAUCA" DE CONFORMIDAD CON LOS ESTUDIOS Y DOCUMENTOS PREVIOS ELABORADOS POR LA ENTIDAD Y LA PROPUESTA ELABORADA POR EL CONTRATISTA </t>
  </si>
  <si>
    <t>0202
30/05/2013</t>
  </si>
  <si>
    <t>0249
04/06/2013</t>
  </si>
  <si>
    <t>ANUAR ESFUERZOS CON LA FUNDACION REDES PARA LLEVAR A CABO UN EVENTO DE CAPACITACION A LOS FUNCIONARIOS DEL DEPORTE DE LOS MUNICIPIOS DEL DEPARTAMENTO DEL CAUCA, EN EL MARCO DE LA EJECUCION DEL PROYECTO "APOYO DE ASISTENCIA DEPORTIVA A LOS MUNICIPIOS DEL DEPARTAMENTO DEL CAUCA" LOS DIAS 9, 10, 11 Y 12 DE JULIO DEL 2013</t>
  </si>
  <si>
    <t>20 DIAS</t>
  </si>
  <si>
    <t>198
30/05/2013</t>
  </si>
  <si>
    <t>0260
04/06/2013</t>
  </si>
  <si>
    <t>203
30/05/2013</t>
  </si>
  <si>
    <t>1279
12/06/2013</t>
  </si>
  <si>
    <t>266
20/06/2013</t>
  </si>
  <si>
    <t>307
26/06/2013</t>
  </si>
  <si>
    <t xml:space="preserve">PROMOCION Y FOMENTO DEL DEPORTE, LA RECREACION Y LA ACTIVIDAD FISICA Y LA EDUCACION FISICA </t>
  </si>
  <si>
    <t xml:space="preserve">PROGRAMA PERSONA MAYOR EN EL DEPARTAMENTO DEL CAUCA </t>
  </si>
  <si>
    <t>CONVENIO 
20
26/06/2013</t>
  </si>
  <si>
    <t>204
11/09/2013</t>
  </si>
  <si>
    <t>205
11/09/2013</t>
  </si>
  <si>
    <t>208
11/09/2013</t>
  </si>
  <si>
    <t>209
11/09/2013</t>
  </si>
  <si>
    <t>210
11/09/2013</t>
  </si>
  <si>
    <t>212
11/09/2013</t>
  </si>
  <si>
    <t>214
11/09/2013</t>
  </si>
  <si>
    <t>216
11/09/2013</t>
  </si>
  <si>
    <t>217
11/09/2013</t>
  </si>
  <si>
    <t>CONVENIO
37
22/07/2013</t>
  </si>
  <si>
    <t>RESOLUCION
38
16/09/2013</t>
  </si>
  <si>
    <t xml:space="preserve">ASOCIACION DE FAMILIA DE COMUNIDADES DEL CAUCA AFCC Y/O VICTOR ALFONSO SOLANO </t>
  </si>
  <si>
    <t xml:space="preserve">EL CONTRATISTA SE OBLIGA CON IDEPORTES CAUCA A PRESTAS SUS SERVICIOS PROFESIONALES DE DIFUSION Y PROMOCION DE LOS MENSAJES DE LAS CAMPAÑAS EDUCATIVAS RELACIONADAS CON LAS ACTIVIDADES Y EVENTOS PROGRAMADOS, PERSONA MAYOR EN EL DEPARTAMENTO DEL CAUCA Y EL CUBRIMIENTO Y ACOMPAÑAMIENTO PERIODISTICO A DICHAS ACTIVIDADES DE CONFORMIDAD CON LOS ESTUDIOS Y DOCUMENTOS PREVIOS ELABORADOS POR LA ENTIDAD Y LA PROPUESTA PRESENTADA POR EL CONTRATISTA </t>
  </si>
  <si>
    <t xml:space="preserve">SILVESTRE CAMPOS MUÑOZ </t>
  </si>
  <si>
    <t xml:space="preserve">OSCAR ANDRES SOLARTE ARTEAGA </t>
  </si>
  <si>
    <t xml:space="preserve">FERNANDO ROJAS VALENCIA </t>
  </si>
  <si>
    <t>DAVID BENIGNO RIOS YACUP</t>
  </si>
  <si>
    <t xml:space="preserve">EMPRENTA DEL CAUCA S.A Y/O MANUEL ANDRES SAA CAICEDO </t>
  </si>
  <si>
    <t xml:space="preserve">MARIA DEL PILAR LOPEZ OCAMPO </t>
  </si>
  <si>
    <t xml:space="preserve">JUAN DIEGO OVIEDO ALEGRIA </t>
  </si>
  <si>
    <t xml:space="preserve">INGRID PAOLA RIVERA ANTE </t>
  </si>
  <si>
    <t xml:space="preserve">FUNDACION REDES </t>
  </si>
  <si>
    <t xml:space="preserve">CAROLINA GARZON </t>
  </si>
  <si>
    <t>ANUAR ESFUERZOS CON LA FUNDACION REDES PARA LLEVAR A CABO EL EVENTO DEPARTAMENTAL DE ADULTO MAYOR A REALIZARSE EN EL MUNICIPIO DE TIMBIO EL DIA 25 DE JULIO DEL 2013</t>
  </si>
  <si>
    <t xml:space="preserve">APOYO LOGISTICO PARA EL ENCUENTRO DE ADULTO MAYOR EN SAN ANDRES ISLAS </t>
  </si>
  <si>
    <t>0423
20/08/2013</t>
  </si>
  <si>
    <t>0558
11/09/2013</t>
  </si>
  <si>
    <t>0430
20/08/2013</t>
  </si>
  <si>
    <t>0566
11/09/2013</t>
  </si>
  <si>
    <t>0427
20/08/2013</t>
  </si>
  <si>
    <t>0568
11/09/2013</t>
  </si>
  <si>
    <t>0425
20/08/2013</t>
  </si>
  <si>
    <t>0569
11/09/2013</t>
  </si>
  <si>
    <t>0428
20/08/2013</t>
  </si>
  <si>
    <t>0561
11/09/2013</t>
  </si>
  <si>
    <t>0424
20/08/2013</t>
  </si>
  <si>
    <t>0563
11/06/2013</t>
  </si>
  <si>
    <t>0431
20/08/2013</t>
  </si>
  <si>
    <t>0564
11/09/2013</t>
  </si>
  <si>
    <t>0422
20/08/2013</t>
  </si>
  <si>
    <t>0565
11/09/2013</t>
  </si>
  <si>
    <t>0426
20/08/2013</t>
  </si>
  <si>
    <t>0571
11/09/2013</t>
  </si>
  <si>
    <t xml:space="preserve">5 DIAS </t>
  </si>
  <si>
    <t xml:space="preserve">APOYO A LA PRIMERA INFANCIA, INFANCIA Y ADOLESCENCIA Y LA JUVENTUD EN EL DEPARTAMENTO DE CAUCA </t>
  </si>
  <si>
    <t>2013-019000-0070
15-13-430</t>
  </si>
  <si>
    <t xml:space="preserve">CONVENIO 251 
VALOR DEL CONVENIO $ 140.00.000
APORTE COLDEPORTES 100%
APORTE DEPARTAMENTO $ 0
</t>
  </si>
  <si>
    <t xml:space="preserve">CAUCA EN MOVIMIENTO </t>
  </si>
  <si>
    <t xml:space="preserve">APOYO AL PROGRAMA HABITOS Y ESTILOS DE VIDA SALUDABLE POPAYAN CAUCA, OCCIDENTE </t>
  </si>
  <si>
    <t>$ 183.439.000
APORTE DEPARTAMENTO 
$ 30.453.000</t>
  </si>
  <si>
    <t>$ 208.000.000
APORTE DEPARTAMENTO 
$ 47.551.550</t>
  </si>
  <si>
    <t>2013-019000-0072
15-13-458</t>
  </si>
  <si>
    <t>RESOLUCION 
33
13/08/2013</t>
  </si>
  <si>
    <t>CONVENIO 
50
05/09/2013</t>
  </si>
  <si>
    <t>ACEPTACION DE LA OFERTA 
011
20/09/2013</t>
  </si>
  <si>
    <t>222
12/09/2013</t>
  </si>
  <si>
    <t>221
12/09/2013</t>
  </si>
  <si>
    <t xml:space="preserve">RESOLUCION 
40
14/10/2013
</t>
  </si>
  <si>
    <t>207
11/09/2013</t>
  </si>
  <si>
    <t>211
11/092013</t>
  </si>
  <si>
    <t>218
1109/2013</t>
  </si>
  <si>
    <t>215
11/09/2013</t>
  </si>
  <si>
    <t>206
11/09/2013</t>
  </si>
  <si>
    <t>213
11/09/2013</t>
  </si>
  <si>
    <t xml:space="preserve">RESOLUCION </t>
  </si>
  <si>
    <t xml:space="preserve">FUNDACION INTEGRACION DEL NORTE </t>
  </si>
  <si>
    <t xml:space="preserve">LA NOTA MUSICAL </t>
  </si>
  <si>
    <t xml:space="preserve">MARTIN GIL ACEVEDO </t>
  </si>
  <si>
    <t xml:space="preserve">DIANA MARCELA CASTILLO SERNA </t>
  </si>
  <si>
    <t>ALEXANDER ARIAS NOREÑA</t>
  </si>
  <si>
    <t xml:space="preserve">HERNAN DARIO QUINTERO GONZALES </t>
  </si>
  <si>
    <t xml:space="preserve">EDGAR SALAMANCA BARRAGAN </t>
  </si>
  <si>
    <t xml:space="preserve">LUIS CARLOS TORRES URUTIA </t>
  </si>
  <si>
    <t xml:space="preserve">EDGAR FERNANDO RENGIFO GOMEZ </t>
  </si>
  <si>
    <t>WALTER ADRIAN TINTINAGO BURBANO</t>
  </si>
  <si>
    <t xml:space="preserve">CAUCA 1040/ JESUS REYNEL SANTA CRUZ SOLARTE </t>
  </si>
  <si>
    <t xml:space="preserve">TRANSPORTE CAPACITACION IPIALES </t>
  </si>
  <si>
    <t>TRANSPORTE CAPACITACION BOGOTA</t>
  </si>
  <si>
    <t>ANUAR ESFUERZOS ECONOMICOS, LOGISTICOS Y OPERATIVOS CON LA FUNDACION INTEGRACION DEL NORTE PARA LLEVAR A CABO LA REALIZACION DE LOS CURSOS DE ACTIVIDAD FISICA MUSICALIZADA, ANATOMIA PUBLICITARIOY EDUCATIVO DEL PROGRAMA HABITOS Y ESTILOS DE VIDA SALUDABLE, CAUCA EN MOVIMIENTO A REALIZARSE EN LA CIUDAD DE POPAYAN LOS DIAS 8, 14, 15, 20, 21 22, 27 Y 28 DE SEPTIEMBRE DE 2013</t>
  </si>
  <si>
    <t xml:space="preserve">COMPRA DE EQUIPO DE SONIDO QUE CONSTA DE 12 CABINAS DE 12´ DE 15´  CON USB AMPLIFICADOS DE 500 W, 12 TRIPODE PARA CABINA, 12 MICROFONOS DE SOLAPA Y DIADEMA BHT DE CONFORMIDAD CON LOS ESTUDIOS Y DOCUMENTOS PREVIOS ELABORADOS POR LA ENTIDAD </t>
  </si>
  <si>
    <t xml:space="preserve">EL CONTRATISTA SE OBLIGA CON INDEPORTES CAUCA A PRESTAS SUS SERVICIOS PROFESIONALES DE DIFUSION Y PROMOCION DE LOS MENSAJES DE LAS CAMPAÑAS EDUCATIVAS RELACIONADAS CON LAS ACTIVIDADES Y EVENTOS PROGRAMADOS, PERSONA MAYOR EN EL DEPARTAMENTO DEL CAUCA Y EL CUBRIMIENTO Y ACOMPAÑAMIENTO PERIODISTICO A DICHAS ACTIVIDADES DE CONFORMIDAD CON LOS ESTUDIOS Y DOCUMENTOS PREVIOS ELABORADOS POR LA ENTIDAD Y LA PROPUESTA PRESENTADA POR EL CONTRATISTA </t>
  </si>
  <si>
    <t xml:space="preserve">EL CONTRATISTA SE OBLIGA CON INDEPORTES CAUCA A PRESTAS SUS SERVICIOS APOYANDO EL PROCESO DE GESTOR DE COMUNICACIONES DE LA ENTIDAD (PUBLICACIONES) EN EL PROYECTO " PROGRAMA HABITOS Y ESTILOS DE VIDA SALUBALE" A TRAVES DE LA ACTIVIDAD FISICA  DE CONFORMIDAD CON LOS ESTUDIOS Y DOCUMENTOS PREVIOS ELABORADOS POR LA ENTIDAD PROPUESTA Y/O PRESENTADA </t>
  </si>
  <si>
    <t xml:space="preserve">EL CONTRATISTA SE OBLIGA CON INDEPORTES CAUCA A PRESTAS SUS SERVICIOS APOYANDO EL PROCESO DE GESTOR DE COMUNICACIONES DE LA ENTIDAD (PRODUCCION) EN EL PROYECTO " PROGRAMA HABITOS Y ESTILOS DE VIDA SALUBALE" A TRAVES DE LA ACTIVIDAD FISICA  DE CONFORMIDAD CON LOS ESTUDIOS Y DOCUMENTOS PREVIOS ELABORADOS POR LA ENTIDAD PROPUESTA Y/O PRESENTADA </t>
  </si>
  <si>
    <t xml:space="preserve">TRANSPORTE CAPACITACION IBUNDOY </t>
  </si>
  <si>
    <t xml:space="preserve">EL CONTRATISTA SE OBLIGA A PRESTAR SUS SERVICIOS DE  DIFUSION Y PROMOCION DE LOS MENSAJES DE LAS CAMPAÑAS EDUCATIVAS REALACIONADAS CON LAS ACTIVIDADES Y EVENTOS PROGRAMADAS A TRAVES DEL PROYECTO "HABITOS Y ESTILOS DE VIDA SALUDABLE" A TRAVES DE LA ACTIVIDAD FISICA EN EL DEPARATAMENTO DEL CAUCA Y EL CUBRIMIENTO Y ACOMPAÑAMIENTO PERIODISTICO DE DICHAS ACTIVIDADES EN CONFORMIDAD CON LOS ESTUDIOS Y DOCUMENTOS ELABORADOS POR LA ENTIDAD Y LA PROPUESTA PRESENTADA POR EL CONTRATISTA </t>
  </si>
  <si>
    <t>10 DIAS</t>
  </si>
  <si>
    <t>4 DIAS</t>
  </si>
  <si>
    <t>0403
12/08/2013</t>
  </si>
  <si>
    <t>0458
30/08/2013</t>
  </si>
  <si>
    <t>0576
12/09/2013</t>
  </si>
  <si>
    <t>0457
30/08/2013</t>
  </si>
  <si>
    <t>0575
12/19/2013</t>
  </si>
  <si>
    <t>0418
20/08/2013</t>
  </si>
  <si>
    <t>0560
11/09/2013</t>
  </si>
  <si>
    <t>0421
20/08/2013</t>
  </si>
  <si>
    <t>0562
11/09/2013</t>
  </si>
  <si>
    <t xml:space="preserve">0417
20/08/2013
</t>
  </si>
  <si>
    <t>0559
11/09/2013</t>
  </si>
  <si>
    <t>0459
30/08/2013</t>
  </si>
  <si>
    <t>0570
11/09/2013</t>
  </si>
  <si>
    <t>0460
30/08/2013</t>
  </si>
  <si>
    <t>0567
11/09/2013</t>
  </si>
  <si>
    <t>0419
20/08/2013</t>
  </si>
  <si>
    <t>0557
11/09/2013</t>
  </si>
  <si>
    <t xml:space="preserve">CONSTRUCCION DE LA INFRAESTRUCTURA FISICA, DEPORTIVA CON LOS RECURSOS DE IVA TELEFONICA MOVIL EN LOS MUNICIPIOS DE PAEZ, ROSAS Y BUENOS AIRES CAUCA OCCIDENTE </t>
  </si>
  <si>
    <t xml:space="preserve">INFRAESTRUCTURA DEPORTIVA RECREATIVA </t>
  </si>
  <si>
    <t>2013-019000-0108
15-13-649</t>
  </si>
  <si>
    <t>1165
08/11/2013</t>
  </si>
  <si>
    <t>1177
08/11/2013</t>
  </si>
  <si>
    <t>1181
08/11/2013</t>
  </si>
  <si>
    <t>MUNICIPIO DE PAEZ</t>
  </si>
  <si>
    <t>MUNICIPIO DE ROSAS</t>
  </si>
  <si>
    <t xml:space="preserve">MUNICIPIO DE BUENOS AIRES </t>
  </si>
  <si>
    <t>EJECUTAR EL PROYECTO DENOMINADO " CONSTRUCCION DE LA INFRAESTRUCTURA FISICA, DEPORTIVA CON LOS RECURSOS DE IVA TELEFONICA MOVIL EN LOS MUNICIPIOS DE PAEZ, ROSAS Y BUENOS AIRES CAUCA OCCIDENTE"</t>
  </si>
  <si>
    <t xml:space="preserve">1 MES 
23 DIAS </t>
  </si>
  <si>
    <t xml:space="preserve">1 MES
 23 DIAS </t>
  </si>
  <si>
    <t xml:space="preserve">4475 Y 4473
28/10/2013
</t>
  </si>
  <si>
    <t xml:space="preserve">7830 Y 7831
08/11/2013
</t>
  </si>
  <si>
    <t>4476
28/10/2013</t>
  </si>
  <si>
    <t>7828
08/11/2013</t>
  </si>
  <si>
    <t>4474 Y 44777
28/10/2013</t>
  </si>
  <si>
    <t>7822 Y 7823
08/11/2013</t>
  </si>
  <si>
    <t xml:space="preserve">PAULA ANDREA PRADO FAJARDO </t>
  </si>
  <si>
    <t>$ 141.618.000
FINANCIACION:
IVA TELEFONICA MOVIL:
 $ 92.537.767
PAEZ- BELALCAZAR:
  $ 31.939.406
ROSAS:
 $ 17.141.013</t>
  </si>
  <si>
    <t xml:space="preserve">DEPORTE, RECREACION, ACTIVIDAD FISICA Y EDUCACION FISICA </t>
  </si>
  <si>
    <t>1019
18/10/2013</t>
  </si>
  <si>
    <t>1021
21/10/2013</t>
  </si>
  <si>
    <t>1022
21/10/2013</t>
  </si>
  <si>
    <t>1023
21/10/2013</t>
  </si>
  <si>
    <t>LILIANA DANZABAL GARCIA</t>
  </si>
  <si>
    <t>DIANA MARCELA TOBAR FRANCO</t>
  </si>
  <si>
    <t>DIANA CARDENAS POLO</t>
  </si>
  <si>
    <t xml:space="preserve">LIBIA MARIA JOJOA TOBAR </t>
  </si>
  <si>
    <t>1030
23/10/2013</t>
  </si>
  <si>
    <t>1080
06/11/2013</t>
  </si>
  <si>
    <t xml:space="preserve">CLAUDIA ALEJANDRA COLL AGUDELO </t>
  </si>
  <si>
    <t>FLOR DE MARIA ANACONA UNI</t>
  </si>
  <si>
    <t>PRESTAR SERVICIOS PROFESIONALES COMO ADMINISTRADORA PUBLICA ESPECIALIZADA EN LA SECRETARIA DE MUJER PARA PROMOVER LAS INICIATIVAS DE EMPRENDIMIENTO ECONOMICO Y AUTOSOSTENIBLE DE LAS ORGANIZACIONES SOCIALES DE MUJERES QUE FORTALEZCAN LA SOBERANIA ALIMENTARIA Y LA AUTONOMIA ECONOMICA DE LAS MUJRES RURALES Y URBANAS EN EL MARCO DEL PROGRAMA DE DESARROLLO INSTITUCIONAL DEL PLAN DE DESARROLLO 2012-2015 Y EL PROYECTO "ASISTENCIA TECNICA PARA LA TRANSVERSALIDAD DEL ENFOQUE DIFERENCIAL DE GENERO EN EL CAUCA QUE GARANTICE LA IMPLEMENTACION DE LA POLITICA PUBLICA DEPARTAMENTAL DE  MUJERES"</t>
  </si>
  <si>
    <t>PRESTAR SERVICIOS PROFESIONALES COMO POLITOLOGA  EN LA SECRETARIA DE MUJER PARA PROMOVER LA PARTICIPACION POLITICA, SOCIAL Y CIUDADANIA DE LAS MUJERES DESDE LA IMPLEMENTACION DE LA ESTRATEGIA  DE TRANSVERSALIZACION DEL ENFOQUE DIFERENCIAL DE GENERO Y LA IMPLEMENTACION DE LA POLITICA PUBLICA DEPARTAMENTAL DE MUJERES EN EL MARCO DEL PROGRAMA PARTICIPACION POLITICA Y CIUDADANA DE LAS MUJERES DEL PLAN DE DESARROLLO 2012-2015 Y EL PROYECTO  "ASISTENCIA TECNICA PARA LA TRANSVERSALIDAD DEL ENFOQUE DIFERENCIAL DE GENERO EN EL CAUCA QUE GARANTICE LA IMPLEMENTACION DE LA POLITICA PUBLICA DEPARTAMENTAL DE  MUJERES"</t>
  </si>
  <si>
    <t>PRESTAR SERVICIOS PROFESIONALES COMO ANTROPOLOGA EN LA SECRETARIA DE LA MUJER PARA PROMOVER Y FORTALECER LAS ORGANIZACIONES SOCIALES DE MUJERES DEL CAUCA PARA EL EMPODERAMIENTO Y PARTICIPACION DESDE EL ENFOQUE DIFERENCIAL SEGÚN AUTO 092 DE 2008 Y LA GARANTIA DE LOS DERECHOS ECONOMICOS, SOCIALES Y CULTURALES ( DESC)  DE LAS MUJERES EN EL MARCO DEL PROGRAMA DESARROLLO INSTITUCIONAL DEL PLAN DE DESARROLLO 2012-2015 Y EL PROYECTO "ASISTENCIA TECNICA PARA LA TRANSVERSALIDAD DEL ENFOQUE DIFERENCIAL DE GENERO EN EL CAUCA QUE GARANTICE LA IMPLEMENTACION DE LA POLITICA PUBLICA DEPARTAMENTAL DE  MUJERES"</t>
  </si>
  <si>
    <t>PRESTAR SERVICIOS PROFESIONALES COMO ABOGADA ESPECIALIZADA EN EL ENFOQUE DE GENERO EN LA SECRETARIA DE LA MUJER PARA EL DISEÑO, PROMOCION E IMPLEMENTACION DE RUTAS INTERSETORIALES QUE PROMUEVAN UN ACCESO REAL Y EFECTIVO A LA JUSTICIA DE MUJERES VICTIMAS DE VIOLENCIAS BASADAS EN GENERO, EN EL MARCO DEL PROGRAMA MUJER LIBRE DE VIOLENCIAS, RACISMO Y DISCRIMINACION DEL PLAN DE DESARROLLO 2012-2015 Y EL PROYECTO "ASISTENCIA TECNICA PARA LA TRANSVERSALIDAD DEL ENFOQUE DIFERENCIAL DE GENERO EN EL CAUCA QUE GARANTICE LA IMPLEMENTACION DE LA POLITICA PUBLICA DEPARTAMENTAL DE  MUJERES"</t>
  </si>
  <si>
    <t>1 MESE Y 25 DIAS</t>
  </si>
  <si>
    <t>4026
11/10/2013</t>
  </si>
  <si>
    <t>7178
18/10/2013</t>
  </si>
  <si>
    <t>3821
19/09/2013</t>
  </si>
  <si>
    <t>7235
21/10/2013</t>
  </si>
  <si>
    <t>PRESTAR SERVICIOS PROFESIONALES COMO COMUNICADORA SOCIAL EN LA SECRETARIA DE LA MUJER PARA TRANSFORMAR LOS IMAGINARIOS, DISCURSOS, VALORES Y PRACTICAS SOCIOCULTURALES QUE PROMUEVEN, TOLERAN Y PERPETUAN LA DISCRIMINACION Y LAS VIOLENCIAS CONTRA LAS MUJERES EN EL MARCO DEL PROGRAMA MUJER LIBRE DE VIOLENCIAS, RACISMO Y DISCRIMINACION DEL PLAN DE DESARROLLO 2012-2015 Y EL PROYECTO "ASISTENCIA TECNICA PARA LA TRANSVERSALIDAD DEL ENFOQUE DIFERENCIAL DE GENERO EN EL CAUCA QUE GARANTICE LA IMPLEMENTACION DE LA POLITICA PUBLICA DEPARTAMENTAL DE  MUJERES"</t>
  </si>
  <si>
    <t>PRESTAR SERVICIOS PROFESIONALES COMO LICENCIADA EN EDUCACION PREESCOLAR EN LA SECRETARIA DE LA MUJER PARA PROMOVER Y FORTALECER LOS ESPACIOS AUTONOMOS DE LAS ORGANIZACIONES SOCIALES DE MUJERES INDIGENAS DEL CAUCA PARA CUALIFICAR LA PARTICIPACION POLITICA Y SOCIAL Y LA GARANTIA DE DERECHOS ECONOMICOS, SOCIALES Y CULURALES (DESC) DE LAS MUJERES INDIGENAS EN EL MARCO DEL PROGRAMA DESARROLLO INSTITUCIONAL DEL PLAN DE DESARROLLO 2012-2015 Y EL PROYECTO "ASISTENCIA TECNICA PARA LA TRANSVERSALIDAD DEL ENFOQUE DIFERENCIAL DE GENERO EN EL CAUCA QUE GARANTICE LA IMPLEMENTACION DE LA POLITICA PUBLICA DEPARTAMENTAL DE  MUJERES"</t>
  </si>
  <si>
    <t>3825
19/09/2013</t>
  </si>
  <si>
    <t>7234
21/10/2013</t>
  </si>
  <si>
    <t>3823
19/09/2013</t>
  </si>
  <si>
    <t>7236
21/10/2013</t>
  </si>
  <si>
    <t>3822
19/09/2013</t>
  </si>
  <si>
    <t>4228
15/10/2013</t>
  </si>
  <si>
    <t>7297
25/09/2013</t>
  </si>
  <si>
    <t>7668
06/11/2013</t>
  </si>
  <si>
    <t xml:space="preserve">SALOME GOMEZ CORRALES </t>
  </si>
  <si>
    <t xml:space="preserve">FALTA REALIZAR EL ULTIMO PAGO </t>
  </si>
  <si>
    <t>ASISTENCIA TECNICA PARA LA TRANSVERSALIZACION DEL ENFOQUE DIFERENCIAL DE GENERO EN EL CAUCA QUE GARANTIZE LA IMPLEMENTACION DE LA POLITICA PUBLICA DEPARTAMENTAL DE LAS MUJERES</t>
  </si>
  <si>
    <t xml:space="preserve">2013-019000-0071
14-13-520
</t>
  </si>
  <si>
    <t>SALUD INTEGRAL VIDA SANA
MUJER LIBRE DE VIOLENCIA</t>
  </si>
  <si>
    <t>MUJER</t>
  </si>
  <si>
    <t xml:space="preserve">RECUPERACION DE ESPACIOS PUBLICOS PARA LA RECREACION Y EL DEPORTE, POPAYAN, CAUCA OCCIDENTE  </t>
  </si>
  <si>
    <t>1200
13/11/2013</t>
  </si>
  <si>
    <t>JOSE RICARDO CELY MARIÑO</t>
  </si>
  <si>
    <t xml:space="preserve">REHABILITACION DE LOS ESTUDIOS Y DISEÑOS PARA LA RECUPERACION DE ESPACIOS PUBLICOS PARA RECREACION Y EL DEPORTE EN EL MUNICIPIO DE POPAYAN </t>
  </si>
  <si>
    <t>1 MES MAS UN PLAZO DE 2 MESES</t>
  </si>
  <si>
    <t>02/12/203</t>
  </si>
  <si>
    <t>3098
02/08/2013</t>
  </si>
  <si>
    <t>7926
13/11/203</t>
  </si>
  <si>
    <t xml:space="preserve">MILTON GUILLLERMO MUÑOZ </t>
  </si>
  <si>
    <t>CAPACITACIÓN DIPLOMADO FORMATIVO PARA DOCENTES Y DIRECTIVOS DOCENTES DEL DEPARTAMENTO DEL CAUCA</t>
  </si>
  <si>
    <t>2013-019000-0032
03-13-332</t>
  </si>
  <si>
    <t>509
18/06/2013</t>
  </si>
  <si>
    <t>INSTITUCION UNIVERSITARIA TECNOLOGICA DE COMFACAUCA</t>
  </si>
  <si>
    <t>CAPACITACIÓN DIPLOMADO FORMATIVOO PARA DOCENTES Y DIRECTIVOS DOCENTES AL SERVICIO EDUCATIVO EN LOS 41 MUNICIPIOS NO CERTIFICADOS DEL DEPARTAMENTO DEL CAUCA VINCULADOS BAJO DECRETO 2277 DE 1979 Y DECRETO LEY 1278 DE 2002</t>
  </si>
  <si>
    <t>1824
15/05/2013</t>
  </si>
  <si>
    <t>3565
18/06/2013</t>
  </si>
  <si>
    <t>NIDIA MARYORIS MUÑOZ</t>
  </si>
  <si>
    <t>PROYECTO VIABILIZADO PARA CAPACITAR 700 DOCENTES Y DIRECTIVOS DOCENTES, SOLAMENTE SE CAPACITAN 97 DOCENTES Y DD, META SOBREDIMENSIONADA</t>
  </si>
  <si>
    <t>CAPACITACIÓN DIPLOMADO FORMATIVO PARA DOCENTES Y DIRECTIVOS DOCENTES AL SERVICIO EDUCATIVO DE LOS 41 MUNICIPIOS DEL DEPARTAMENTO</t>
  </si>
  <si>
    <t>97 DOCENTES Y DIRECTIVOS DOCENTES CAPACITADOS</t>
  </si>
  <si>
    <t xml:space="preserve">CAUCA NUESTRO PATRIMONIO </t>
  </si>
  <si>
    <t>FORTALECIMIENTO Y DIVULGACIÓN MUSICAL DE MARIMBA Y CANTOS TRADICIONALES DEL PACIFICO SUR MUNICIPIO DE GUAPI CAUCA</t>
  </si>
  <si>
    <t>11-13-641</t>
  </si>
  <si>
    <t>1183
08/11/2013
CONVENIO INTERADTIVO</t>
  </si>
  <si>
    <t>MUNICIPIO DE GUAPI</t>
  </si>
  <si>
    <t>EJECUCIÓN DEL PROYECTO"FORTALECIMIENO Y DIVULGACIÓN DE LA MÚSICA DE MARIMBA Y CANTOS TRADICIONALES DEL PACIFICO SUR MUNICIPIO DE GUAPI CAUCA EL CUAL SE ENCUENTRA DEBIDAMENTE VIABILIZADO</t>
  </si>
  <si>
    <t>1 MES 23 DIAS</t>
  </si>
  <si>
    <t>3943
27/09/2013</t>
  </si>
  <si>
    <t>7811
08/11/20123</t>
  </si>
  <si>
    <t>EN PROCESO DE LIQUIDACIÓN</t>
  </si>
  <si>
    <t xml:space="preserve">CARLOS ALIRIO VIDAL </t>
  </si>
  <si>
    <t>PAGO REALIZADO MEDIANTE COMPROBANTE DE EGRESO 16257 DEL 11 /12/2013.
ACTA DE LIQUIDACIÓN SIN FIRMA DEL GOBERNADOR, NI SOPORTES.
NO REPOSAN ACTAS DE ENTREGA A LA COMUNIDAD</t>
  </si>
  <si>
    <t>EVENTO DE SOCIALIZACIÓN DEL PES DE LAS MUSICAS DE MARIMBA Y CANTOS TRADICIONALES DEL PACIFICO SUR A GESTORES CULTURALES
CAPACITACION Y ENCUENTRO DE CANTADORAS, MARIMBEROS,ARTESANOS. 
ORGANIZAR UN ENCUENTRO CULTURAL DE CARÁCTER LOCAL
DOTACIÓN CON INSTRUMENTOS TRADICIONALES A 8 GRUPOS ORGANIZADOS</t>
  </si>
  <si>
    <t>EVENTO DE SOCIALIZACIÓN DEL PES DE LAS MUSICAS DE MARIMBA Y CANTOS TRADICIONALES DEL PACIFICO SUR A GESTORES CULTURALES REALIZADO
CAPACITACION Y ENCUENTRO DE CANTADORAS, MARIMBEROS,ARTESANOS REALIZADO. 
ENCUENTRO CULTURAL DE CARÁCTER LOCAL ORGANIZADO  
DOTACIÓN CON INSTRUMENTOS TRADICIONALES A 5 GRUPOS ORGANIZADOS</t>
  </si>
  <si>
    <t>APOYO A LA REALIZACIÓN DEL XXIII FESTIVAL INTERNACIONAL DE MUSICA CLÁSICA EN SANTANDER DE QUILICHAO</t>
  </si>
  <si>
    <t xml:space="preserve">2013-019000-0036
11-13-401
</t>
  </si>
  <si>
    <t>258
26/03/2013</t>
  </si>
  <si>
    <t>FUNDACION CLUB KIWANIS TIERRADENTRO</t>
  </si>
  <si>
    <t>APOYO ALA REALIZACIÓN DEL XXIII FESTIVAL INTERNACIONAL DE MUSICA CLASICA DE SANTANDER DE QUILICHAO</t>
  </si>
  <si>
    <t>5 DIAS</t>
  </si>
  <si>
    <t>1161
22/03/2013</t>
  </si>
  <si>
    <t>1478
26/03/2013</t>
  </si>
  <si>
    <t>PROCESO DE LIQUIDACIÓN</t>
  </si>
  <si>
    <t>CARLOS ALIRIO VIDAL</t>
  </si>
  <si>
    <t>REVISAR PAGOS
NO HAY INFORME FINAL</t>
  </si>
  <si>
    <t>6 CONCIERTOS MUSICA CLASICA</t>
  </si>
  <si>
    <t>EVENTOS REALIZADOS</t>
  </si>
  <si>
    <t>PERTINENCIA E INNOVACION AL EDUCAR</t>
  </si>
  <si>
    <t>OPORTUNIDAD SUPERIOR QUE MERECEMOS</t>
  </si>
  <si>
    <t>IMPLEMENTACÓN DE UNA ALIANZA PUBLICO PRIVADA PARA ACCESO CON EQUIDAD A LA EDUCACIÓN SUPERIOR EN LOS MUNICIPIOS DE PATIA, SUCRE, MERCADERES, FLORENCIA, LA SIERRA, CAJIBIO Y TOTORÓ</t>
  </si>
  <si>
    <t>613
25/07/2013</t>
  </si>
  <si>
    <t>GARANTIZAR EL ACCESO CON EQUIDAD A LA EDUCACIÓN SUPERIOR EN LOS MUNICIPIOOS DE PATIA, SUCRE, MERCADERES, FLORENCIA, LA SIERRA, CAJIBIO Y TOTORO DEL DEPARTAMENTO DEL CAUCA</t>
  </si>
  <si>
    <t>1 AÑO</t>
  </si>
  <si>
    <t>2505
27/06/2013</t>
  </si>
  <si>
    <t xml:space="preserve">  4553
25/07/2013</t>
  </si>
  <si>
    <t>JOSE IVAN COLLAZOS</t>
  </si>
  <si>
    <t>MEDIANTE RESOLUCIÓN SE JUSTIFICA PROCESO DE CONTRATACIÓN DIRECTA. NO REGISTRA OFICIO DE DESIGNACIÓN DE SUPERVISOR.
CONTRATO DE MODIFICACIÓN SIN FECHA</t>
  </si>
  <si>
    <t>ORGANIZAR UN ENCUENTRO CULTURAL DE CARÁCTER LOCAL</t>
  </si>
  <si>
    <t>TODAS LAS OPORTUNIDADES PARA APRENDER INGLES EN EL CAUCA</t>
  </si>
  <si>
    <t>2013-019000-0031
03-13-335</t>
  </si>
  <si>
    <t>SIN TRAMITE A LA FECHA INFORMA DRA. ELIZABETH CORDOBA</t>
  </si>
  <si>
    <t>DOTACIÓN CON INSTRUMENTOS TRADICIONALES A 8 GRUPOS IRGANIZADOS</t>
  </si>
  <si>
    <t>APOYO IX ENCUENTRO DE COLONIAS AFRODESCENDIENTES HEMAISA 2013"UNIENDO NUESTRA GENTE"</t>
  </si>
  <si>
    <t>2013-019000-0038
11-13-390</t>
  </si>
  <si>
    <t>CAPACITACIÓN EN INDUCCIÓN, REINDUCCIÓN DE DOCENTES Y ENCUENTRO CON RECTORES, POPAYAN, CAUCA, OCCIDENTE</t>
  </si>
  <si>
    <t>03-13-724</t>
  </si>
  <si>
    <t>VIABILIZADO, PERO NO SE HA EJECUTADO. SE REALIZARA A PARTIR DE JULIO DE 2014</t>
  </si>
  <si>
    <t xml:space="preserve">CONSTRUCCION DE 7 AULAS ESCOLARES, 1 BATERIA SANITARIA, 1 RESTAURANTE ESCOLAR EN LA I.E VICTOR MANUEL CHAUX VILLAMIL, SEDE CDRM GABRIEL LOPEZ MUNICIPIO DE TOTORO DEPARTAMENTO DEL CAUCA </t>
  </si>
  <si>
    <t>2013-019000-0141
03-13-714</t>
  </si>
  <si>
    <t>631
12/06/2013</t>
  </si>
  <si>
    <t>FABIAN ANDRES HIDALGO ORDOÑEZ</t>
  </si>
  <si>
    <t>1389
12/032014</t>
  </si>
  <si>
    <t xml:space="preserve">JAIRO EMIRO DORADO </t>
  </si>
  <si>
    <t>LICITACION PUBLICA 
 SOLO SE ENCONTRO  CDP</t>
  </si>
  <si>
    <t xml:space="preserve">FORO EDUCATIVO DEPARTAMENTAL UN EVENTO QUE MOVILIZA A LA COMUNIDAD EDUCATIVA DE LOS 41 MUNICIPIOS NO CERTIFICADOS DEL DEPARTAMENTO DEL CAUCA EN TORNO A LA CALIDAD DE LA EDUCACION </t>
  </si>
  <si>
    <t xml:space="preserve">CAPACITACION DE LA INDUCCION Y REINDUCCION DIRIGIDA A DOCENTES DIRECTIVOS DE LA COSTA PACIFICA DEL DEPARTAMENTO </t>
  </si>
  <si>
    <t xml:space="preserve">APOYO PEGADOGICO PARA LA POBLACION CON NECESIDADES ESPECIALES EDUCATIVAS EN EL DEPARTAMENTO DEL CAUCA </t>
  </si>
  <si>
    <t>EN PROCESO</t>
  </si>
  <si>
    <t xml:space="preserve">eje economico </t>
  </si>
  <si>
    <t xml:space="preserve">vigencia </t>
  </si>
  <si>
    <t>2013-2015</t>
  </si>
  <si>
    <t xml:space="preserve">DOTACIÓN DE LABORATORIO DE SUELOS AGRÍCOLAS DE LA GOBERNACIÓN DEL CAUCA DE UN ESPECTRÓMETRO DE ÚLTIMA TECNOLOGÍA </t>
  </si>
  <si>
    <t xml:space="preserve">% fisico </t>
  </si>
  <si>
    <t xml:space="preserve">% financiero </t>
  </si>
  <si>
    <t xml:space="preserve">con trato </t>
  </si>
  <si>
    <t xml:space="preserve">proyecto </t>
  </si>
  <si>
    <t>IMPLEMENTACIÓN DE LA CORPORACIÓN MIXTA DE TURISMO DEPARTAMENTO DEL CAUCA</t>
  </si>
  <si>
    <t>PROGRAMA DE NUTRICIÓN Y ALIMENTACIÓN ESCOLAR-PANES DEL DEPARTAMENTO DEL CAUCA</t>
  </si>
  <si>
    <t xml:space="preserve">sin informacion </t>
  </si>
  <si>
    <t>ENFERMEDADES CRONICAS PREVENIBLES Y NO PREVENIBLES Y LAS DISCAPACIDADES</t>
  </si>
  <si>
    <t>ADECUACION DE LA INFRAESTRUCTURA  Y CONSTRUCCION DEL DEPOSITO DE RESIDUOS SOLIDOS HOSPITALARIOS, CENTRO DE CAPACITACIONES Y DE POSITO TRANSITORIO DE CADAVERES DEL HOSPITAL DEL MUNICIPIO DE TIMBIQUI CAUCA</t>
  </si>
  <si>
    <t>MEJORAMIENTO DEL SISTEMA DE ABASTASTECIMIENTO DE AGUA PARA EL HOSPITAL DE GUAPI</t>
  </si>
  <si>
    <t>MEJORAR LA NUTRICIÓN DE LA POBLACIÓN CAUCANA, CAUCA SIN HAMBRE</t>
  </si>
  <si>
    <t>MEJORAR LA SALUD SEXUAL Y REPRODUCTIVA</t>
  </si>
  <si>
    <t xml:space="preserve">avance ejecutado /contratado </t>
  </si>
  <si>
    <t xml:space="preserve">ejecutado /aporte Dto </t>
  </si>
  <si>
    <t>2014-2015</t>
  </si>
  <si>
    <t>2013-2014</t>
  </si>
  <si>
    <t>ASISTENCIA TÉCNICA PARA LA TRANSVERSALIZACION DEL ENFOQUE DIFERENCIAL DE GENERO EN EL CAUCA QUE GARANTICE LA IMPLEMENTACIÓN DE LA POLÍTICA PUBLICA DEPARTAMENTAL DE LAS MUJERES</t>
  </si>
  <si>
    <t xml:space="preserve">total </t>
  </si>
  <si>
    <t>o</t>
  </si>
  <si>
    <t xml:space="preserve">
9333333</t>
  </si>
  <si>
    <t xml:space="preserve">
1400.000</t>
  </si>
  <si>
    <t>2013-019000-0152
18-13-532</t>
  </si>
  <si>
    <t>FORTALECIMIENTO DEL AREA DE CONTRATACION DE LA OFICINA DE ASESORIA JURIDICA DEL DEPARTAMENTO , EN LA GOBERNACION DEL CAUCA</t>
  </si>
  <si>
    <t>CONSTRUCCION OBRA COMPLEMENTARIAS TANQUE DE ALMACENAMIENTO DEL ACUEDUCTO DE LA CABECERA MUNICIPAL DE SUAREZ, CAUCA, OCCIDENTE</t>
  </si>
  <si>
    <t>MEJORAMIENTO DEL SISTEMA INTEGRADO DE GESTION SIG MECI CALIDAD DE LA GOBERNACION DEL CAUCA</t>
  </si>
  <si>
    <t>SANEAMIENTO FINANCIERO Y CULMINACION DE LAS ACTIVIDADES PENDIENTES DE LA LIQUIDACION DE LA DIRECCION DEPARTAMENTAL DE SALUD DEL CAUCA</t>
  </si>
  <si>
    <t>DISEÑO E IMPLEMENTACION DE ESTRATEGIAS PARA LA ADMINISTRACION PARA EL ARCHIVO DE LA GOBERNACION DEL CAUCA</t>
  </si>
  <si>
    <t xml:space="preserve">APORTE DEPARTAMENTO </t>
  </si>
  <si>
    <t xml:space="preserve">% ejecutado </t>
  </si>
  <si>
    <t>2013-019000-0039
07-13-414</t>
  </si>
  <si>
    <t>MODERNIZACION Y 
FORTALECIMIENTO 
INSTITUCIONAL</t>
  </si>
  <si>
    <t>456
27/06/2013</t>
  </si>
  <si>
    <t xml:space="preserve">IMPRENTA DEPARTAMENTAL DEL CAUCA 
REPRESENTANTE:
JUAN EDUARDO LOPEZ </t>
  </si>
  <si>
    <t>EJECUCION DE LOS COMPONENTE UNO. SEIS Y ONCE DEL PROYECTO "DISEÑO E IMPLEMENTACION DE ESTRATEGIAS PARA LA ADMINISTRACION PARA EL ARCHIVO DE LA GOBERNACION DEL CAUCA"</t>
  </si>
  <si>
    <t>31/11/2013</t>
  </si>
  <si>
    <t>1430
16/06/2013
4660
01/11/2013</t>
  </si>
  <si>
    <t>PABLO FERNANDO ROSERO ALARCON</t>
  </si>
  <si>
    <t xml:space="preserve">COMPILACION DE LA INFORMACION SOBRE LA EVOLUCION HISTORICA DE LA GOBERNACION;  ELABORACION, APLICACIÓN, TABULACION DE ENCUESTAS]; ANALISIS DE DOCUMENTOS HISTORICOS; ELABORACION DE TABLAS RETENCION DOCUMENTAL; CAPACITACION Y SENSIBILIZACION </t>
  </si>
  <si>
    <t>CONTRATO INTERADMINISTRATIVO. PARA LA EJECUCION DEL ´PROYECTO SE SOLICITARON $901.824.000, PERO CON $763.882.000 SE EJECUTO AL 100%</t>
  </si>
  <si>
    <t>APOYO IX ENCUENTRO DE COLONIAS AFRODESCENDIENTES HEMAISA</t>
  </si>
  <si>
    <t xml:space="preserve">CONSTRUCCION DE 7 AULAS ESCOLARES, 1 BATERIA SANITARIA, 1 RESTAURANTE ESCOLAR </t>
  </si>
  <si>
    <t>PRESTAR DE SERVICIOS COMO COORDINADOR GENERAL (CAUCA) AL PROYECTO "APOYO DE ASISTENCIA DEPORTIVA A LOS MUNICIPIOS DEL DEPARTAMENTO DEL CAUCA"</t>
  </si>
  <si>
    <t>SERVICIOS COMO COORDINADOR GENERAL (CAUCA) AL PROYECTO "APOYO DE ASISTENCIA DEPORTIVA A LOS MUNICIPIOS DEL DEPARTAMENTO DEL CAUCA"</t>
  </si>
  <si>
    <t xml:space="preserve">PRESTACION DE SERVICIOS COMO SUB COORDINADOR REGIONAL ZONACENTRO, NORTE, ORIENTE Y PACIFICO AL PROYECTO "APOYO DE ASISTENCIA DEPORTIVA A LOS MUNICIPIOS DEL DEPARTAMENTO DEL CAUCA" DE CONFORMIDAD CON LOS ESTUDIOS Y DOCUMENTOS PREVIOS ELABORADOS POR LA ENTIDAD Y LA PROPUESTA ELABORADA POR EL CONTRATISTA </t>
  </si>
  <si>
    <t xml:space="preserve">PRESTACION DE SERVICIOS COMO SUB COORDINADOR REGIONAL ZONACENTRO, NORTE, ORIENTE Y PACIFICO AL PROYECTO "APOYO DE ASISTENCIA DEPORTIVA A LOS MUNICIPIOS DEL DEPARTAMENTO DEL CAUCA" </t>
  </si>
  <si>
    <t xml:space="preserve"> SERVICIOS COMO SUB COORDINADOR REGIONAL ZONACENTRO, NORTE, ORIENTE Y PACIFICO AL PROYECTO "APOYO DE ASISTENCIA DEPORTIVA A LOS MUNICIPIOS DEL DEPARTAMENTO DEL CAUCA" </t>
  </si>
  <si>
    <t xml:space="preserve">PRESTACION DE SERVICIOS COMO SUB COORDINADOR REGIONAL MACIZO Y BOTA CAUCANA  AL PROYECTO "APOYO DE ASISTENCIA DEPORTIVA A LOS MUNICIPIOS DEL DEPARTAMENTO DEL CAUCA" </t>
  </si>
  <si>
    <t xml:space="preserve">SERVICIOS COMO SUB COORDINADOR REGIONAL MACIZO Y BOTA CAUCANA  AL PROYECTO "APOYO DE ASISTENCIA DEPORTIVA A LOS MUNICIPIOS DEL DEPARTAMENTO DEL CAUCA" </t>
  </si>
  <si>
    <t xml:space="preserve"> EVENTO DE CAPACITACION A LOS FUNCIONARIOS DEL DEPORTE DE LOS MUNICIPIOS DEL DEPARTAMENTO DEL CAUCA,  LOS DIAS 9, 10, 11 Y 12 DE JULIO DEL 2013</t>
  </si>
  <si>
    <t xml:space="preserve">PRESTACION DE SERVICIOS COMO SUB COORDINADOR REGIONAL MACIZO Y BOTA CAUCANA  AL PROYECTO "APOYO DE ASISTENCIA DEPORTIVA A LOS MUNICIPIOS DEL DEPARTAMENTO DEL CAUCA" DE CONFORMIDAD CON LOS ESTUDIOS Y DOCUMENTOS PREVIOS ELABORADOS POR LA ENTIDAD Y LA PROPUESTA ELABORADA POR EL CONTRATISTA </t>
  </si>
  <si>
    <t xml:space="preserve"> SERVICIOS PROFESIONALES DE DIFUSION Y PROMOCION DE LOS MENSAJES DE LAS CAMPAÑAS EDUCATIVAS RELACIONADAS CON LAS ACTIVIDADES Y EVENTOS PROGRAMADOS, PERSONA MAYOR EN EL DEPARTAMENTO DEL CAUCA Y EL CUBRIMIENTO Y ACOMPAÑAMIENTO PERIODISTICO A DICHAS ACTIVIDADES DE CONFORMIDAD CON LOS ESTUDIOS Y DOCUMENTOS PREVIOS ELABORADOS POR LA ENTIDAD Y LA PROPUESTA PRESENTADA POR EL CONTRATISTA </t>
  </si>
  <si>
    <t xml:space="preserve"> PRESTAS SUS SERVICIOS PROFESIONALES DE DIFUSION Y PROMOCION DE LOS MENSAJES DE LAS CAMPAÑAS EDUCATIVAS RELACIONADAS CON LAS ACTIVIDADES Y EVENTOS PROGRAMADOS, PERSONA MAYOR EN EL DEPARTAMENTO DEL CAUCA Y EL CUBRIMIENTO Y ACOMPAÑAMIENTO PERIODISTICO A DICHAS ACTIVIDADES DE CONFORMIDAD CON LOS ESTUDIOS Y DOCUMENTOS PREVIOS ELABORADOS POR LA ENTIDAD Y LA PROPUESTA PRESENTADA POR EL CONTRATISTA </t>
  </si>
  <si>
    <t xml:space="preserve">SERVICIOS PROFESIONALES DE DIFUSION Y PROMOCION DE LOS MENSAJES DE LAS CAMPAÑAS EDUCATIVAS RELACIONADAS CON LAS ACTIVIDADES Y EVENTOS PROGRAMADOS, PERSONA MAYOR EN EL DEPARTAMENTO DEL CAUCA Y EL CUBRIMIENTO Y ACOMPAÑAMIENTO PERIODISTICO A DICHAS ACTIVIDADES DE CONFORMIDAD CON LOS ESTUDIOS Y DOCUMENTOS PREVIOS ELABORADOS POR LA ENTIDAD Y LA PROPUESTA PRESENTADA POR EL CONTRATISTA </t>
  </si>
  <si>
    <t xml:space="preserve">PRESTAR SERVICIOS PROFESIONALES DE DIFUSION Y PROMOCION DE LOS MENSAJES DE LAS CAMPAÑAS EDUCATIVAS RELACIONADAS CON LAS ACTIVIDADES Y EVENTOS PROGRAMADOS, PERSONA MAYOR EN EL DEPARTAMENTO DEL CAUCA Y EL CUBRIMIENTO Y ACOMPAÑAMIENTO PERIODISTICO A DICHAS ACTIVIDADES DE CONFORMIDAD CON LOS ESTUDIOS Y DOCUMENTOS PREVIOS ELABORADOS POR LA ENTIDAD Y LA PROPUESTA PRESENTADA POR EL CONTRATISTA </t>
  </si>
  <si>
    <t xml:space="preserve">PRESTAR SUS SERVICIOS PROFESIONALES DE DIFUSION Y PROMOCION DE LOS MENSAJES DE LAS CAMPAÑAS EDUCATIVAS RELACIONADAS CON LAS ACTIVIDADES Y EVENTOS PROGRAMADOS, PERSONA MAYOR EN EL DEPARTAMENTO DEL CAUCA Y EL CUBRIMIENTO Y ACOMPAÑAMIENTO PERIODISTICO A DICHAS ACTIVIDADES DE CONFORMIDAD CON LOS ESTUDIOS Y DOCUMENTOS PREVIOS ELABORADOS POR LA ENTIDAD Y LA PROPUESTA PRESENTADA POR EL CONTRATISTA </t>
  </si>
  <si>
    <t xml:space="preserve">EL CONTRATISTA SE OBLIGA CON INDEPORTES CAUCA A PRESTAR SUS SERVICIOS PROFESIONALES DE DIFUSION Y PROMOCION DE LOS MENSAJES DE LAS CAMPAÑAS EDUCATIVAS RELACIONADAS CON LAS ACTIVIDADES Y EVENTOS PROGRAMADOS, PERSONA MAYOR EN EL DEPARTAMENTO DEL CAUCA Y EL CUBRIMIENTO Y ACOMPAÑAMIENTO PERIODISTICO A DICHAS ACTIVIDADES DE CONFORMIDAD CON LOS ESTUDIOS Y DOCUMENTOS PREVIOS ELABORADOS POR LA ENTIDAD Y LA PROPUESTA PRESENTADA POR EL CONTRATISTA </t>
  </si>
  <si>
    <t xml:space="preserve">EL CONTRATISTA SE OBLIGA CON IDEPORTES CAUCA A PRESTAR SUS SERVICIOS PROFESIONALES DE DIFUSION Y PROMOCION DE LOS MENSAJES DE LAS CAMPAÑAS EDUCATIVAS RELACIONADAS CON LAS ACTIVIDADES Y EVENTOS PROGRAMADOS, PERSONA MAYOR EN EL DEPARTAMENTO DEL CAUCA Y EL CUBRIMIENTO Y ACOMPAÑAMIENTO PERIODISTICO A DICHAS ACTIVIDADES DE CONFORMIDAD CON LOS ESTUDIOS Y DOCUMENTOS PREVIOS ELABORADOS POR LA ENTIDAD Y LA PROPUESTA PRESENTADA POR EL CONTRATISTA </t>
  </si>
  <si>
    <t xml:space="preserve">PRESTAR SERVICIOS PROFESIONALES COMO ADMINISTRADORA PUBLICA ESPECIALIZADA EN LA SECRETARIA DE MUJER PARA PROMOVER LAS INICIATIVAS DE EMPRENDIMIENTO ECONOMICO Y AUTOSOSTENIBLE DE LAS ORGANIZACIONES SOCIALES DE MUJERES QUE FORTALEZCAN LA SOBERANIA ALIMENTARIA Y LA AUTONOMIA ECONOMICA DE LAS MUJRES RURALES Y URBANAS </t>
  </si>
  <si>
    <t xml:space="preserve">SERVICIOS PROFESIONALES COMO ADMINISTRADORA PUBLICA ESPECIALIZADA EN LA SECRETARIA DE MUJER PARA PROMOVER LAS INICIATIVAS DE EMPRENDIMIENTO ECONOMICO Y AUTOSOSTENIBLE DE LAS ORGANIZACIONES SOCIALES DE MUJERES QUE FORTALEZCAN LA SOBERANIA ALIMENTARIA Y LA AUTONOMIA ECONOMICA DE LAS MUJRES RURALES Y URBANAS </t>
  </si>
  <si>
    <t xml:space="preserve">PRESTAR SERVICIOS PROFESIONALES COMO POLITOLOGA  EN LA SECRETARIA DE MUJER PARA PROMOVER LA PARTICIPACION POLITICA, SOCIAL Y CIUDADANIA DE LAS MUJERES DESDE LA IMPLEMENTACION DE LA ESTRATEGIA  DE TRANSVERSALIZACION DEL ENFOQUE DIFERENCIAL DE GENERO Y LA IMPLEMENTACION DE LA POLITICA PUBLICA DEPARTAMENTAL DE MUJERES </t>
  </si>
  <si>
    <t xml:space="preserve">SERVICIOS PROFESIONALES COMO POLITOLOGA  EN LA SECRETARIA DE MUJER PARA PROMOVER LA PARTICIPACION POLITICA, SOCIAL Y CIUDADANIA DE LAS MUJERES DESDE LA IMPLEMENTACION DE LA ESTRATEGIA  DE TRANSVERSALIZACION DEL ENFOQUE DIFERENCIAL DE GENERO Y LA IMPLEMENTACION DE LA POLITICA PUBLICA DEPARTAMENTAL DE MUJERES </t>
  </si>
  <si>
    <t xml:space="preserve">PRESTAR SERVICIOS PROFESIONALES COMO ABOGADA ESPECIALIZADA EN EL ENFOQUE DE GENERO EN LA SECRETARIA DE LA MUJER PARA EL DISEÑO, PROMOCION E IMPLEMENTACION DE RUTAS INTERSETORIALES QUE PROMUEVAN UN ACCESO REAL Y EFECTIVO A LA JUSTICIA DE MUJERES VICTIMAS DE VIOLENCIAS BASADAS EN GENERO, EN EL MARCO DEL PROGRAMA MUJER LIBRE DE VIOLENCIAS, RACISMO Y DISCRIMINACION </t>
  </si>
  <si>
    <t xml:space="preserve">PRESTAR SERVICIOS PROFESIONALES COMO COMUNICADORA SOCIAL EN LA SECRETARIA DE LA MUJER PARA TRANSFORMAR LOS IMAGINARIOS, DISCURSOS, VALORES Y PRACTICAS SOCIO CULTURALES QUE PROMUEVEN, TOLERAN Y PERPETUAN LA DISCRIMINACION Y LAS VIOLENCIAS CONTRA LAS MUJERES EN EL MARCO DEL PROGRAMA MUJER LIBRE DE VIOLENCIAS, RACISMO Y DISCRIMINACION </t>
  </si>
  <si>
    <t xml:space="preserve"> SERVICIOS PROFESIONALES COMO COMUNICADORA SOCIAL EN LA SECRETARIA DE LA MUJER PARA TRANSFORMAR LOS IMAGINARIOS, DISCURSOS, VALORES Y PRACTICAS SOCIO CULTURALES QUE PROMUEVEN, TOLERAN Y PERPETUAN LA DISCRIMINACION Y LAS VIOLENCIAS CONTRA LAS MUJERES EN EL MARCO DEL PROGRAMA MUJER LIBRE DE VIOLENCIAS, RACISMO Y DISCRIMINACION </t>
  </si>
  <si>
    <t xml:space="preserve">PRESTAR SERVICIOS PROFESIONALES COMO LICENCIADA EN EDUCACION PREESCOLAR EN LA SECRETARIA DE LA MUJER PARA PROMOVER Y FORTALECER LOS ESPACIOS AUTONOMOS DE LAS ORGANIZACIONES SOCIALES DE MUJERES INDIGENAS DEL CAUCA PARA CUALIFICAR LA PARTICIPACION POLITICA Y SOCIAL Y LA GARANTIA DE DERECHOS ECONOMICOS, SOCIALES Y CULURALES (DESC) DE LAS MUJERES INDIGENAS </t>
  </si>
  <si>
    <t xml:space="preserve">SERVICIOS PROFESIONALES COMO LICENCIADA EN EDUCACION PREESCOLAR EN LA SECRETARIA DE LA MUJER PARA PROMOVER Y FORTALECER LOS ESPACIOS AUTONOMOS DE LAS ORGANIZACIONES SOCIALES DE MUJERES INDIGENAS DEL CAUCA PARA CUALIFICAR LA PARTICIPACION POLITICA Y SOCIAL Y LA GARANTIA DE DERECHOS ECONOMICOS, SOCIALES Y CULURALES (DESC) DE LAS MUJERES INDIGENAS </t>
  </si>
  <si>
    <t xml:space="preserve">PRESTAR SERVICIOS PROFESIONALES COMO ANTROPOLOGA EN LA SECRETARIA DE LA MUJER PARA PROMOVER Y FORTALECER LAS ORGANIZACIONES SOCIALES DE MUJERES DEL CAUCA PARA EL EMPODERAMIENTO Y PARTICIPACION DESDE EL ENFOQUE DIFERENCIAL SEGÚN AUTO 092 DE 2008 Y LA GARANTIA DE LOS DERECHOS ECONOMICOS, SOCIALES Y CULTURALES ( DESC)  DE LAS MUJERES EN EL MARCO DEL PROGRAMA </t>
  </si>
  <si>
    <t xml:space="preserve">SERVICIOS PROFESIONALES COMO ANTROPOLOGA EN LA SECRETARIA DE LA MUJER PARA PROMOVER Y FORTALECER LAS ORGANIZACIONES SOCIALES DE MUJERES DEL CAUCA PARA EL EMPODERAMIENTO Y PARTICIPACION DESDE EL ENFOQUE DIFERENCIAL SEGÚN AUTO 092 DE 2008 Y LA GARANTIA DE LOS DERECHOS ECONOMICOS, SOCIALES Y CULTURALES ( DESC)  DE LAS MUJERES EN EL MARCO DEL PROGRAMA </t>
  </si>
  <si>
    <t>2965
27/05/2013
7994
15/11/2013</t>
  </si>
  <si>
    <t xml:space="preserve">liquidado </t>
  </si>
  <si>
    <t xml:space="preserve">DOTACIÓN ESPECTRÓMETRO </t>
  </si>
  <si>
    <t xml:space="preserve"> 7 LÍNEAS PRODUCTIVAS </t>
  </si>
  <si>
    <t xml:space="preserve"> MOSOCO</t>
  </si>
  <si>
    <t xml:space="preserve">CORPORACIÓN MIXTA DE TURISMO </t>
  </si>
  <si>
    <t>PANE</t>
  </si>
  <si>
    <t xml:space="preserve">PANES </t>
  </si>
  <si>
    <t xml:space="preserve"> LA CASA DE LA CULTURA</t>
  </si>
  <si>
    <t xml:space="preserve"> CENTRO EDUCATIVO EN EL ZARZAL </t>
  </si>
  <si>
    <t xml:space="preserve"> ADULTO MAYOR</t>
  </si>
  <si>
    <t xml:space="preserve"> INFANCIA Y ADOLESCENCIA</t>
  </si>
  <si>
    <t xml:space="preserve"> DIVERSIDAD SEXUAL LGTB</t>
  </si>
  <si>
    <t xml:space="preserve">TORIBIO MAYA </t>
  </si>
  <si>
    <t xml:space="preserve"> BENEFICIARIOS UNIDOS </t>
  </si>
  <si>
    <t>SALUD INFANTIL</t>
  </si>
  <si>
    <t xml:space="preserve"> SALUD SEXUAL Y REPRODUCTIVA</t>
  </si>
  <si>
    <t xml:space="preserve">ENFERMEDADES CRONICAS </t>
  </si>
  <si>
    <t xml:space="preserve"> DEPOSITO DE RESIDUOS SOLIDOS </t>
  </si>
  <si>
    <t xml:space="preserve">BAJA COMPLEJIDAD </t>
  </si>
  <si>
    <t>FORO EDUCATIVO</t>
  </si>
  <si>
    <t xml:space="preserve"> DIPLOMADO </t>
  </si>
  <si>
    <t>DIVULGACIÓN MUSICAL DE MARIMBA</t>
  </si>
  <si>
    <t xml:space="preserve"> INGLES </t>
  </si>
  <si>
    <t xml:space="preserve"> 7 AULAS ESCOLARES MANUEL CHAUX</t>
  </si>
  <si>
    <t xml:space="preserve">SECRETARIAS MUNICIPALES DEL DEPORTE </t>
  </si>
  <si>
    <t xml:space="preserve">PERSONA MAYOR </t>
  </si>
  <si>
    <t xml:space="preserve">RECUPERACION DE ESPACIOS PUBLICOS </t>
  </si>
  <si>
    <t xml:space="preserve">DESARROLLO INSTITUCIONAL </t>
  </si>
  <si>
    <t xml:space="preserve">2013-019000-0045
07-13-459
</t>
  </si>
  <si>
    <t>572
08/07/2013</t>
  </si>
  <si>
    <t>804
05/09/2013</t>
  </si>
  <si>
    <t xml:space="preserve">MAELVI ORTIZ MORENO </t>
  </si>
  <si>
    <t>571
08/07/2013J1J13:N15</t>
  </si>
  <si>
    <t xml:space="preserve">LA CONTRATISTA SE OBLIGA A PRESTAR  SERVICIOS PROFESIONALES COMO ABOGADA  EN LA OFICINA DE ASESORA JURIDICA  EN EL MARCO DEL PROYECTO "FORTALECIMIENTO DEL AREA DE CONTRATACION DE LA OFICINA DE ASESORIA JURIDICA DEL DEPARTAMENTO , EN LA GOBERNACION DEL CAUCA" CONFORME A ESTUDIOS PREVIOS </t>
  </si>
  <si>
    <t>2541
28/06/2013</t>
  </si>
  <si>
    <t>2560
28/06/203</t>
  </si>
  <si>
    <t>3497
28/08/2013</t>
  </si>
  <si>
    <t>4092
08/07/2013</t>
  </si>
  <si>
    <t>4091
08/07/2013</t>
  </si>
  <si>
    <t>5811
05/09/2013</t>
  </si>
  <si>
    <t xml:space="preserve">ADRINA CONSTANZA RAMOS </t>
  </si>
  <si>
    <t xml:space="preserve">JORGE GRUESO ZUÑIGA </t>
  </si>
  <si>
    <t xml:space="preserve">ANCIZAR ZEMANATE JIMENEZ </t>
  </si>
  <si>
    <t xml:space="preserve">MARIA ESPERANZA COLINA HENAO </t>
  </si>
  <si>
    <t xml:space="preserve">DILIA ANGELICA SANCHEZ VASQUEZ </t>
  </si>
  <si>
    <t xml:space="preserve">LA CONTRATISTA SE OBLIGA A PRESTAR  SERVICIOS PROFESIONALES COMO ABOGADO  EN LA OFICINA DE ASESORA JURIDICA DE LA GOBERNACION DEL CAUCA EN EL AREA DE CONTRATACION  EN EL MARCO DEL PROYECTO "FORTALECIMIENTO DEL AREA DE CONTRATACION DE LA OFICINA DE ASESORIA JURIDICA DEL DEPARTAMENTO , EN LA GOBERNACION DEL CAUCA" CONFORME A ESTUDIOS PREVIOS </t>
  </si>
  <si>
    <t xml:space="preserve">LA CONTRATISTA SE OBLIGA A PRESTAR  SERVICIOS PROFESIONALES COMO CONTADORA PUBLICA EN LA TESORERIA  DE LA GOBERNACION DEL CAUCA  EN MARCO DEL PROYECTO "FORTALECIMIENTO DEL AREA DE CONTRATACION DE LA OFICINA DE ASESORIA JURIDICA DEL DEPARTAMENTO , EN LA GOBERNACION DEL CAUCA" CONFORME A ESTUDIOS PREVIOS </t>
  </si>
  <si>
    <t xml:space="preserve">ADMINISTRACION Y FINANZAS </t>
  </si>
  <si>
    <t xml:space="preserve">GESTION TRANSPARENTE Y EFICIENTE </t>
  </si>
  <si>
    <t xml:space="preserve">MEJORAMIENTO DEL DESARROLLO INTEGRADO DE GESTION SIG MECI CALIDAD DE LA GOBERNACION DEL CAUCA </t>
  </si>
  <si>
    <t xml:space="preserve">WILLIAM ENRIQUE BERDUGO ROSERO </t>
  </si>
  <si>
    <t xml:space="preserve">LUIS FELIPE PEÑA RIVERA </t>
  </si>
  <si>
    <t xml:space="preserve">45 DIAS </t>
  </si>
  <si>
    <t>1211
15/11/2013</t>
  </si>
  <si>
    <t>8037
15/11/2013</t>
  </si>
  <si>
    <t>4887
15/11/2013</t>
  </si>
  <si>
    <t xml:space="preserve">ACTUALIZACION DE COCUMENTOS MECI; ACTUALIZACION DE LISTADOS DE USUARIOS Y CONTRASEÑAS DE LOS SERVIDORES PUBLICOS, </t>
  </si>
  <si>
    <t>4884
25/11/2013</t>
  </si>
  <si>
    <t>8038
15/11/2013</t>
  </si>
  <si>
    <t>1213
15/11/2013</t>
  </si>
  <si>
    <t xml:space="preserve">JESUS DAVID TORRES DELGADO </t>
  </si>
  <si>
    <t>APOYAR LA SECRETARIA GENERAL- OFICINA GESTION ORGANIZACIONAL EN LA REORGANIZACION DEL SISTEMA INTEGRADO DE GESTION PARA LA GOBERNACION DEL CAUCA, EN EL MARCO DE LA NTCGP 1000: 2009 Y MECI: 1000: 2005</t>
  </si>
  <si>
    <t xml:space="preserve">SOCIALIZAR Y SENSIBILIZAR A LOS RESPONSABLES Y LIDERES DE PROCESOS EL MARCO LEGAL DEL SISTEMA INTEGRADO DE GESTION ; APOYAR LA IDENTIFICACION DE LOS RIESGOS DE TIPO ADMINISTRATIVO Y LOS MAPEOS DE RIESGOS DE 8 PROCESOS DESIGNADOS POR LA OFICINA DE GESTION ORGANIZACIONAL </t>
  </si>
  <si>
    <t>1214
15/11/2013</t>
  </si>
  <si>
    <t xml:space="preserve">WILLIAM ANDREI GOMEZ GALINDEZ </t>
  </si>
  <si>
    <t>4885
15/11/2013</t>
  </si>
  <si>
    <t xml:space="preserve">SIN ACTA INICIO </t>
  </si>
  <si>
    <t xml:space="preserve">NO SE REGISTRA LA ACTA DE INICIO, LA ACTA DE DESIGNACION DE SUPERVISOR Y LOS PAGOS </t>
  </si>
  <si>
    <t xml:space="preserve">SANDRA VICENTA HULTADO ULCHUR </t>
  </si>
  <si>
    <t xml:space="preserve">YOVANNA SALAZAR RAMIRZ </t>
  </si>
  <si>
    <t>SOCIALIZACION DEL PROCEDIMIENTO CONTROL DE DOCUMENTOS Y REGISTROS, ACTUALIZACION Y SOCIALIZACION EL FORMATO DE USO COMUN EN LA SECRETARIA GENERAL ; APOYAR EL DIAGNOSTICO DEL PLAN INSTITUCIONAL DE GESTION AMBIENTAL PIGA</t>
  </si>
  <si>
    <t xml:space="preserve">1212
15/11/2013
</t>
  </si>
  <si>
    <t>4886
15/11/2013</t>
  </si>
  <si>
    <t>8036
15/11/2013</t>
  </si>
  <si>
    <t>8035
15/11/2013</t>
  </si>
  <si>
    <t xml:space="preserve">FORTALECIMIENTO FINANCIERO </t>
  </si>
  <si>
    <t xml:space="preserve">SANEAMIENTO FINANCIERO Y CULMINACION DE LAS ACTIVIDADES PENDIENTES DE LA LIQUIDACION DE LA DIRECCION DEPARTAMENTAL DE SALUD DEL CAUCA </t>
  </si>
  <si>
    <t xml:space="preserve">$ 650,700,000 PARA TRES VIGENCIAS 
2013
$ 150.300.000
</t>
  </si>
  <si>
    <t>$ 494.440.000
PARA TRES VIGENCIAS 
2013
$ 49 725 000</t>
  </si>
  <si>
    <t>2013-019000-0110
07-13-355</t>
  </si>
  <si>
    <t>FORTALECIMIENTO A LOS PROCESOS  DE FORMALIZACIÓN DEL SECTOR CULTURAL</t>
  </si>
  <si>
    <t>RECONOCIMIENTO Y VALORACION DE LOS INSTRUMENTOS DE PLANEACIÓN DE LOS TERRITORIOS ETNICOS</t>
  </si>
  <si>
    <t xml:space="preserve">AFROS E INDIGENAS EN CONVIVENCIA TERRITORIAL  </t>
  </si>
  <si>
    <t>1215
15/11/2013</t>
  </si>
  <si>
    <t xml:space="preserve">MARTHA LUCIA VALENCIA </t>
  </si>
  <si>
    <t xml:space="preserve">APOYAR A LA OFICINA DE RECURSOS FISICOS DE LA GOBERNACION DEL CAUCA, EN LA CESION A TITULO GRATUITO A LAS EMPRESAS SOCIALES DEL ESTADO ESE DEL DEPARTAMENTO DEL CAUCA, DE LOS BIENES MUEBLES E INMUEBLES AFECTADOS A LA PRESTACION DEL SEERVICIO DE SALUD </t>
  </si>
  <si>
    <t>8000
15/11/2013</t>
  </si>
  <si>
    <t xml:space="preserve">REALIZAR ESTUDIO JURIDICO DE LA DOCUMENTACION ALLEGADA POR CADA ESE RESPECTO ALOS BIENES MUEBLES E INMUEBLES, REALIAR ACERCACION CON LAS ESE PENDIENTES PARA QUE SE ALLEGUE LA DOCUMETACION CORRESPONDIENTE DE LOS BIENES INMUEBLES; AGOTAR LOS TRAMITES NECESARIOS PARA LA TRANSFERENCIA DE CADA BIEN MUEBLE E INMUEBLE </t>
  </si>
  <si>
    <t>4424
25/10/2013</t>
  </si>
  <si>
    <t>1069
01/11/2013</t>
  </si>
  <si>
    <t xml:space="preserve">JHOAN MICHAEL CUELLAR ZULUAGA </t>
  </si>
  <si>
    <t>PRESTAR SERVICIOS DE AOPYO A LA GESTION, ALA SECRETARIA E HACIENDA EN EL TEMA RELACIONADO CON EL PROESO DE SANEAMIENTO DE APORTES PATRONALES DE LA DIRECCION DEPARTAMENTAL DE SALUD DEL CAUCA LIQUIDADA Y SUS 36 HOSPITALES Y UNIDADES DEPENDIENTES, EN CUMPLIMIENTO A LAS OBLIGACIONES ESTABLECIDAS EN EL OFICIO No 0150 DEL 21 DE ENERO DE 2013</t>
  </si>
  <si>
    <t>7559
01/11/2013</t>
  </si>
  <si>
    <t xml:space="preserve">ASTRID YANETH PAREDES FUENTES </t>
  </si>
  <si>
    <t xml:space="preserve">FALTA UN PAGO </t>
  </si>
  <si>
    <t xml:space="preserve">NO PARECEN PAGOS </t>
  </si>
  <si>
    <t xml:space="preserve">APOYO EN LA ELABORACION DEL INFORME DE SEGUIMIENTO AL PLAN DE MEJORAMIENTO REQUERIDOS POR LA SECRETARIA DE SALUD; ARCHIVACION Y ORGANIZACIÓN DE OFICIOS EMITIDOS POR LAS DIFERENTES ADMINITRADORAS DE SALUD SOCIAL OBJETO DE CONCILIACION DE APORTES </t>
  </si>
  <si>
    <t>816
06/09/2013</t>
  </si>
  <si>
    <t xml:space="preserve">CLAUDIA ELENA OTERO BURBANO </t>
  </si>
  <si>
    <t>PRESTAR SUS SERVICIOS PROFESIONALES ESPECIALIZADOS PARA BRINDAR APOYO A LA SECRETARIA DE HACIENDA EN EL TEMA RELACIONADO CON EL PROCESO DE SANEAMIENTO DE APORTES PATRONALES DE LA DIRECCION DEPARTAMENTAL DE SALUD DEL CAUCA LIQUIDDA, EN CUMPLIMIENTO CON LAS OBLIGACIONES ESTABLECIDAS EN EL OFICIO No 0150 DEL 21 DE ENERO DE 2013</t>
  </si>
  <si>
    <t>1 MESES</t>
  </si>
  <si>
    <t>5831
06/09/2013
6560
04/10/2013</t>
  </si>
  <si>
    <t xml:space="preserve">3028
26/07/2013
4034
01/10/2013
</t>
  </si>
  <si>
    <t>1046
25/10/2013</t>
  </si>
  <si>
    <t>7365
25/10/2013</t>
  </si>
  <si>
    <t xml:space="preserve">2 MESES Y 6 DIAS </t>
  </si>
  <si>
    <t>4425
25/10/2013</t>
  </si>
  <si>
    <t xml:space="preserve">SE ELABORO INFORME SOLICITADO POR LA SECRETARIA DE SALUD, REQUERIDO POR LA ASAMBLEA DEPARTAMENTAL EN TEMAS RELACIONADOS CON DDSCL,  SE TRAMITARON LAS SOLICITUDES A LAS DIFERENTES ADMINISTRADORAS DE SEGURIDAD RELACIODAS CON LAS ACTAS DE CONCILIACION EN SU DEFECTO LAS ENTREGAS DE LOS ESTADOS DE CUENTAS PARA CONTINUAR CON EL PROCESO DE SANEAMIENTO </t>
  </si>
  <si>
    <t xml:space="preserve">REALIZAR EL ANALISIS Y LA VALORACION DE LOS TEMAS RELACIONADOSCON EL SANEAMIENTO DE APORTES PATRONALES DE LA EXTINTA DIRECCION DEPARTAMENTAL DEL CAUCA Y SUS 36 HOSPITALES Y UNIDADES DEPENDIENTES; APOYAR LA SECRETARIA DE HACIENDA EN LA ELABORACION DE INFORMES Y PROYECTOS DE RESPUESTA A LAS DIFERENTES ENTIDADES QUE LO REQUIERAN, EN EL TEMA DE SANEAMIENTO DE APORTES PATRONALES DE LA ENTIDAD LIQUIDADA; ELABORAR UN PLAN DE TRABAJO QUE DETERMINE EL DESARROLLO DEL PROCESO DE SANEAMIENTO DE APORTES PATRONALES DE LA ENTIDAD LIQUIDADA </t>
  </si>
  <si>
    <t>1209
15/11/2013</t>
  </si>
  <si>
    <t xml:space="preserve">ERICK ALEJANDRO ARANGO FAJARDO </t>
  </si>
  <si>
    <t xml:space="preserve">APOYAR LA LA CONSULTA DOCUMENTAL DE MANERA TECNICA Y BASADA EN LAS NORMAS DE ARCHIVISTA DENTRO DE LA EJECUCION DEL PROYECTO DE SANEAMIENTO FINANCIERO LA CULMINACION DE LAS ACTIVIADES PENDIENTES DE LA LIQUIDACION DE LA DIRECCION DEPARTAMENTAL DE SALUD </t>
  </si>
  <si>
    <t>7984
15/11/2013</t>
  </si>
  <si>
    <t>VR PROYECTO</t>
  </si>
  <si>
    <t xml:space="preserve">VR APORTE DEPARTAMENTO </t>
  </si>
  <si>
    <t xml:space="preserve">VALOR EJECUTADO </t>
  </si>
  <si>
    <t xml:space="preserve">
2013-019000-0078
15-13-561
</t>
  </si>
  <si>
    <t xml:space="preserve">NO SE LE HAN ASIGNADO RECURSOS </t>
  </si>
  <si>
    <t>2013-019000-0103
02-13-656</t>
  </si>
  <si>
    <t>Apoyo en la Gestion y Ejecucion de Proyectos a Municipios Afectados por el Fenomeno de la NIÑA.</t>
  </si>
  <si>
    <t>2013-019000-0030
03-13-342</t>
  </si>
  <si>
    <t>2013-019000-0069
15-13-429</t>
  </si>
  <si>
    <t>2013-019000-0115
07-13-346</t>
  </si>
  <si>
    <t xml:space="preserve">SECTOR </t>
  </si>
  <si>
    <t xml:space="preserve">VIAS </t>
  </si>
  <si>
    <t xml:space="preserve">AGUA POTABLE Y SANEAMIENTO BASICO </t>
  </si>
  <si>
    <t>PRODUCCION</t>
  </si>
  <si>
    <t xml:space="preserve">PRODUCCION </t>
  </si>
  <si>
    <t xml:space="preserve">ENERGIA </t>
  </si>
  <si>
    <t>INSTITUCIONAL</t>
  </si>
  <si>
    <t>CULTURA</t>
  </si>
  <si>
    <t xml:space="preserve">EDUCACION </t>
  </si>
  <si>
    <t>EDUCACION</t>
  </si>
  <si>
    <t xml:space="preserve">SALUD </t>
  </si>
  <si>
    <t xml:space="preserve">POBLACION VULNERABLE </t>
  </si>
  <si>
    <t xml:space="preserve">INFRAESTRUCTURA COMUNITARIA </t>
  </si>
  <si>
    <t xml:space="preserve">INSTITUCIONAL </t>
  </si>
  <si>
    <t xml:space="preserve">RECREACION Y DEPORTE </t>
  </si>
  <si>
    <t xml:space="preserve">NOMBRE DEL PROYECTO </t>
  </si>
  <si>
    <t xml:space="preserve">VALOR CONTRATADO </t>
  </si>
  <si>
    <t xml:space="preserve">CULTURA </t>
  </si>
  <si>
    <t>ENERGIA</t>
  </si>
  <si>
    <t xml:space="preserve">TURISMO </t>
  </si>
  <si>
    <t xml:space="preserve">TOTAL AVANCE </t>
  </si>
  <si>
    <t xml:space="preserve">FORTALECIMIENTO DEL SECTOR AGROPECUARIO Y DE LAS CAPACIDADES SOCIO EMPRESARIALES DE 34 FAMILIAS DEL RESGUARDO INDÍGENA DE MOSOCO, </t>
  </si>
  <si>
    <t xml:space="preserve">ADECUACION DE LA CASA DE LA CULTURA DEL MUNICIPIO DE MERCADERES </t>
  </si>
  <si>
    <t xml:space="preserve">FORTALECIMIENTO Y DIVULGACIÓN MUSICAL DE MARIMBA Y CANTOS TRADICIONALES DEL PACIFICO SUR MUNICIPIO DE GUAPI </t>
  </si>
  <si>
    <t xml:space="preserve">FORO EDUCATIVO DEPARTAMENTAL UN EVENTO QUE MOVILIZA A LA COMUNIDAD EDUCATIVA DE LOS 41 MUNICIPIOS NO CERTIFICADOS DEL DEPARTAMENTO DEL CAUCA </t>
  </si>
  <si>
    <t>CONSTRUCCION OBRAS COMPLEMENTARIAS TANQUE DE ALMACENAMIENTO DEL ACUEDUCTO DE LA CABECERA MUNICIPAL DE SUAREZ</t>
  </si>
  <si>
    <t>CONSTRUCCION OBRAS COMPLEMENTARIAS TANQUE DE ALMACENAMIENTO DEL ACUEDUCTO  DE SUAREZ</t>
  </si>
  <si>
    <t>CAPACITACIÓN DIPLOMADO FORMATIVO PARA DOCENTES Y DIRECTIVOS  DEL DEPARTAMENTO DEL CAUCA</t>
  </si>
  <si>
    <t xml:space="preserve">APOYO A LA ASISTENCIA TÉCNICA AGROPECUARIA A 7 LÍNEAS PRODUCTIVAS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</si>
</sst>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 #,##0.00_);_(&quot;$&quot;\ * \(#,##0.00\);_(&quot;$&quot;\ * &quot;-&quot;??_);_(@_)"/>
    <numFmt numFmtId="43" formatCode="_(* #,##0.00_);_(* \(#,##0.00\);_(* &quot;-&quot;??_);_(@_)"/>
    <numFmt numFmtId="164" formatCode="_(* #,##0_);_(* \(#,##0\);_(* &quot;-&quot;??_);_(@_)"/>
    <numFmt numFmtId="165" formatCode="&quot;$&quot;\ #,##0.00"/>
    <numFmt numFmtId="166" formatCode="0.0"/>
    <numFmt numFmtId="167" formatCode="_(&quot;$&quot;\ * #,##0_);_(&quot;$&quot;\ * \(#,##0\);_(&quot;$&quot;\ * &quot;-&quot;??_);_(@_)"/>
    <numFmt numFmtId="168" formatCode="[$-F800]dddd\,\ mmmm\ dd\,\ yyyy"/>
    <numFmt numFmtId="169" formatCode="0.00000"/>
    <numFmt numFmtId="170" formatCode="0.0%"/>
  </numFmts>
  <fonts count="10" x14ac:knownFonts="1">
    <font>
      <sz val="11"/>
      <color theme="1"/>
      <name val="Calibri"/>
      <family val="2"/>
      <scheme val="minor"/>
    </font>
    <font>
      <b/>
      <sz val="11"/>
      <color theme="1"/>
      <name val="Calibri"/>
      <family val="2"/>
      <scheme val="minor"/>
    </font>
    <font>
      <b/>
      <sz val="10"/>
      <color theme="1"/>
      <name val="Arial"/>
      <family val="2"/>
    </font>
    <font>
      <sz val="11"/>
      <color theme="1"/>
      <name val="Calibri"/>
      <family val="2"/>
      <scheme val="minor"/>
    </font>
    <font>
      <b/>
      <sz val="12"/>
      <color theme="1"/>
      <name val="Arial"/>
      <family val="2"/>
    </font>
    <font>
      <u val="singleAccounting"/>
      <sz val="11"/>
      <color theme="1"/>
      <name val="Calibri"/>
      <family val="2"/>
      <scheme val="minor"/>
    </font>
    <font>
      <sz val="11"/>
      <name val="Calibri"/>
      <family val="2"/>
      <scheme val="minor"/>
    </font>
    <font>
      <sz val="11"/>
      <color indexed="8"/>
      <name val="Calibri"/>
      <family val="2"/>
      <scheme val="minor"/>
    </font>
    <font>
      <sz val="11"/>
      <color rgb="FF000000"/>
      <name val="Calibri"/>
      <family val="2"/>
      <scheme val="minor"/>
    </font>
    <font>
      <sz val="12"/>
      <color rgb="FF000000"/>
      <name val="Calibri"/>
      <family val="2"/>
      <scheme val="minor"/>
    </font>
  </fonts>
  <fills count="5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rgb="FFCBD27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3"/>
        <bgColor indexed="64"/>
      </patternFill>
    </fill>
    <fill>
      <patternFill patternType="solid">
        <fgColor theme="4"/>
        <bgColor indexed="64"/>
      </patternFill>
    </fill>
    <fill>
      <patternFill patternType="solid">
        <fgColor theme="5"/>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8" tint="-0.499984740745262"/>
        <bgColor indexed="64"/>
      </patternFill>
    </fill>
    <fill>
      <patternFill patternType="solid">
        <fgColor theme="2" tint="-0.499984740745262"/>
        <bgColor indexed="64"/>
      </patternFill>
    </fill>
    <fill>
      <patternFill patternType="solid">
        <fgColor theme="4" tint="0.39997558519241921"/>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2" tint="-0.749992370372631"/>
        <bgColor indexed="64"/>
      </patternFill>
    </fill>
    <fill>
      <patternFill patternType="solid">
        <fgColor theme="0" tint="-0.499984740745262"/>
        <bgColor indexed="64"/>
      </patternFill>
    </fill>
    <fill>
      <patternFill patternType="solid">
        <fgColor theme="5" tint="-0.249977111117893"/>
        <bgColor indexed="64"/>
      </patternFill>
    </fill>
    <fill>
      <patternFill patternType="solid">
        <fgColor theme="3" tint="-0.249977111117893"/>
        <bgColor indexed="64"/>
      </patternFill>
    </fill>
    <fill>
      <patternFill patternType="solid">
        <fgColor theme="7"/>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B7FFDB"/>
        <bgColor indexed="64"/>
      </patternFill>
    </fill>
    <fill>
      <patternFill patternType="solid">
        <fgColor rgb="FFCCCCFF"/>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rgb="FFCCFF66"/>
        <bgColor indexed="64"/>
      </patternFill>
    </fill>
    <fill>
      <patternFill patternType="solid">
        <fgColor rgb="FFCCFFFF"/>
        <bgColor indexed="64"/>
      </patternFill>
    </fill>
    <fill>
      <patternFill patternType="solid">
        <fgColor rgb="FFFFFF66"/>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8" tint="0.59999389629810485"/>
        <bgColor indexed="64"/>
      </patternFill>
    </fill>
    <fill>
      <patternFill patternType="solid">
        <fgColor rgb="FFFFCC66"/>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rgb="FFFFCCFF"/>
        <bgColor indexed="64"/>
      </patternFill>
    </fill>
    <fill>
      <patternFill patternType="solid">
        <fgColor rgb="FFCCFFCC"/>
        <bgColor indexed="64"/>
      </patternFill>
    </fill>
    <fill>
      <patternFill patternType="solid">
        <fgColor rgb="FF9999FF"/>
        <bgColor indexed="64"/>
      </patternFill>
    </fill>
    <fill>
      <patternFill patternType="solid">
        <fgColor rgb="FFFF9999"/>
        <bgColor indexed="64"/>
      </patternFill>
    </fill>
    <fill>
      <patternFill patternType="solid">
        <fgColor rgb="FFFF99FF"/>
        <bgColor indexed="64"/>
      </patternFill>
    </fill>
    <fill>
      <patternFill patternType="solid">
        <fgColor rgb="FFFFCC99"/>
        <bgColor indexed="64"/>
      </patternFill>
    </fill>
    <fill>
      <patternFill patternType="solid">
        <fgColor rgb="FFFFCCCC"/>
        <bgColor indexed="64"/>
      </patternFill>
    </fill>
    <fill>
      <patternFill patternType="solid">
        <fgColor theme="8" tint="0.39997558519241921"/>
        <bgColor indexed="64"/>
      </patternFill>
    </fill>
    <fill>
      <patternFill patternType="solid">
        <fgColor rgb="FF99FFCC"/>
        <bgColor indexed="64"/>
      </patternFill>
    </fill>
    <fill>
      <patternFill patternType="solid">
        <fgColor rgb="FF99CCFF"/>
        <bgColor indexed="64"/>
      </patternFill>
    </fill>
  </fills>
  <borders count="2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medium">
        <color indexed="64"/>
      </right>
      <top style="medium">
        <color indexed="64"/>
      </top>
      <bottom/>
      <diagonal/>
    </border>
    <border>
      <left/>
      <right style="thin">
        <color indexed="64"/>
      </right>
      <top/>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1322">
    <xf numFmtId="0" fontId="0" fillId="0" borderId="0" xfId="0"/>
    <xf numFmtId="0" fontId="0" fillId="0" borderId="0" xfId="0" applyAlignment="1">
      <alignment horizontal="center"/>
    </xf>
    <xf numFmtId="0" fontId="0" fillId="0" borderId="4"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43" fontId="0" fillId="0" borderId="0" xfId="1" applyFont="1"/>
    <xf numFmtId="0" fontId="0" fillId="0" borderId="4" xfId="0" applyFill="1" applyBorder="1" applyAlignment="1">
      <alignment horizontal="center" vertical="center" wrapText="1"/>
    </xf>
    <xf numFmtId="44" fontId="0" fillId="0" borderId="0" xfId="1" applyNumberFormat="1" applyFont="1"/>
    <xf numFmtId="44" fontId="0" fillId="0" borderId="0" xfId="1" applyNumberFormat="1" applyFont="1" applyAlignment="1">
      <alignment horizontal="center" vertical="center"/>
    </xf>
    <xf numFmtId="44" fontId="0" fillId="0" borderId="0" xfId="2" applyFont="1"/>
    <xf numFmtId="0" fontId="0" fillId="3" borderId="4" xfId="0" applyFill="1" applyBorder="1" applyAlignment="1">
      <alignment horizontal="center" vertical="center" wrapText="1"/>
    </xf>
    <xf numFmtId="0" fontId="0" fillId="0" borderId="0" xfId="0" applyAlignment="1">
      <alignment horizontal="center" wrapText="1"/>
    </xf>
    <xf numFmtId="0" fontId="0" fillId="0" borderId="0" xfId="0" applyFill="1"/>
    <xf numFmtId="0" fontId="0" fillId="0" borderId="0" xfId="0" applyFill="1" applyAlignment="1">
      <alignment horizontal="center" vertical="center"/>
    </xf>
    <xf numFmtId="0" fontId="0" fillId="0" borderId="5" xfId="0" applyBorder="1" applyAlignment="1">
      <alignment horizontal="center" vertical="center" wrapText="1"/>
    </xf>
    <xf numFmtId="0" fontId="0" fillId="0" borderId="0" xfId="0" applyFill="1" applyAlignment="1">
      <alignment horizontal="center"/>
    </xf>
    <xf numFmtId="0" fontId="0" fillId="4" borderId="4" xfId="0" applyFill="1" applyBorder="1" applyAlignment="1">
      <alignment horizontal="center" vertical="center"/>
    </xf>
    <xf numFmtId="14" fontId="0" fillId="4" borderId="4" xfId="0" applyNumberFormat="1" applyFill="1" applyBorder="1" applyAlignment="1">
      <alignment horizontal="center" vertical="center"/>
    </xf>
    <xf numFmtId="0" fontId="0" fillId="5" borderId="4" xfId="0" applyFill="1" applyBorder="1" applyAlignment="1">
      <alignment horizontal="center" vertical="center" wrapText="1"/>
    </xf>
    <xf numFmtId="0" fontId="0" fillId="5" borderId="4" xfId="0" applyFill="1" applyBorder="1" applyAlignment="1">
      <alignment horizontal="center" vertical="center"/>
    </xf>
    <xf numFmtId="0" fontId="0" fillId="0" borderId="4" xfId="0" applyBorder="1" applyAlignment="1">
      <alignment horizontal="center" vertical="center" wrapText="1"/>
    </xf>
    <xf numFmtId="0" fontId="0" fillId="3" borderId="0" xfId="0" applyFill="1"/>
    <xf numFmtId="0" fontId="2" fillId="2" borderId="6"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15" xfId="0" applyFont="1" applyFill="1" applyBorder="1" applyAlignment="1">
      <alignment horizontal="center" vertical="center" wrapText="1"/>
    </xf>
    <xf numFmtId="14" fontId="0" fillId="4" borderId="4" xfId="0" applyNumberFormat="1" applyFill="1" applyBorder="1" applyAlignment="1">
      <alignment horizontal="center" vertical="center" wrapText="1"/>
    </xf>
    <xf numFmtId="44" fontId="0" fillId="4" borderId="4" xfId="1" applyNumberFormat="1" applyFont="1" applyFill="1" applyBorder="1" applyAlignment="1">
      <alignment horizontal="center" vertical="center" wrapText="1"/>
    </xf>
    <xf numFmtId="44" fontId="0" fillId="4" borderId="4" xfId="2" applyFont="1" applyFill="1" applyBorder="1" applyAlignment="1">
      <alignment horizontal="center" vertical="center" wrapText="1"/>
    </xf>
    <xf numFmtId="0" fontId="0" fillId="7" borderId="0" xfId="0" applyFill="1"/>
    <xf numFmtId="0" fontId="0" fillId="8" borderId="4" xfId="0" applyFill="1" applyBorder="1" applyAlignment="1">
      <alignment horizontal="center" vertical="center" wrapText="1"/>
    </xf>
    <xf numFmtId="2" fontId="0" fillId="8" borderId="4" xfId="0" applyNumberFormat="1" applyFill="1" applyBorder="1" applyAlignment="1">
      <alignment horizontal="center" vertical="center" wrapText="1"/>
    </xf>
    <xf numFmtId="0" fontId="0" fillId="8" borderId="4" xfId="0" applyFill="1" applyBorder="1" applyAlignment="1">
      <alignment horizontal="center" vertical="center"/>
    </xf>
    <xf numFmtId="0" fontId="0" fillId="8" borderId="4" xfId="0" applyFill="1" applyBorder="1"/>
    <xf numFmtId="14" fontId="0" fillId="8" borderId="4" xfId="0" applyNumberFormat="1" applyFill="1" applyBorder="1" applyAlignment="1">
      <alignment horizontal="center" vertical="center"/>
    </xf>
    <xf numFmtId="44" fontId="0" fillId="8" borderId="4" xfId="0" applyNumberFormat="1" applyFill="1" applyBorder="1" applyAlignment="1">
      <alignment horizontal="center" vertical="center" wrapText="1"/>
    </xf>
    <xf numFmtId="2" fontId="0" fillId="0" borderId="4" xfId="0" applyNumberFormat="1" applyFill="1" applyBorder="1" applyAlignment="1">
      <alignment horizontal="center" vertical="center"/>
    </xf>
    <xf numFmtId="0" fontId="0" fillId="12" borderId="4" xfId="0" applyFill="1" applyBorder="1" applyAlignment="1">
      <alignment horizontal="center" vertical="center"/>
    </xf>
    <xf numFmtId="0" fontId="0" fillId="10" borderId="4" xfId="0" applyFill="1" applyBorder="1" applyAlignment="1">
      <alignment horizontal="center" vertical="center" wrapText="1"/>
    </xf>
    <xf numFmtId="2" fontId="0" fillId="8" borderId="4" xfId="0" applyNumberFormat="1" applyFill="1" applyBorder="1" applyAlignment="1">
      <alignment horizontal="center" vertical="center"/>
    </xf>
    <xf numFmtId="14" fontId="0" fillId="10" borderId="4" xfId="0" applyNumberFormat="1" applyFill="1" applyBorder="1" applyAlignment="1">
      <alignment horizontal="center" vertical="center" wrapText="1"/>
    </xf>
    <xf numFmtId="0" fontId="0" fillId="12" borderId="4" xfId="0" applyFill="1" applyBorder="1" applyAlignment="1">
      <alignment horizontal="center" vertical="center" wrapText="1"/>
    </xf>
    <xf numFmtId="44" fontId="0" fillId="12" borderId="4" xfId="1" applyNumberFormat="1" applyFont="1" applyFill="1" applyBorder="1" applyAlignment="1">
      <alignment horizontal="center" vertical="center" wrapText="1"/>
    </xf>
    <xf numFmtId="14" fontId="0" fillId="12" borderId="4" xfId="0" applyNumberFormat="1" applyFill="1" applyBorder="1" applyAlignment="1">
      <alignment horizontal="center" vertical="center"/>
    </xf>
    <xf numFmtId="44" fontId="0" fillId="8" borderId="4" xfId="0" applyNumberFormat="1" applyFill="1" applyBorder="1" applyAlignment="1">
      <alignment horizontal="center" vertical="center"/>
    </xf>
    <xf numFmtId="0" fontId="2" fillId="0" borderId="6" xfId="0" applyFont="1" applyFill="1" applyBorder="1" applyAlignment="1">
      <alignment horizontal="center" vertical="center"/>
    </xf>
    <xf numFmtId="0" fontId="1" fillId="0" borderId="6"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0" fillId="0" borderId="4" xfId="0" applyFill="1" applyBorder="1" applyAlignment="1">
      <alignment horizontal="center" vertical="center"/>
    </xf>
    <xf numFmtId="0" fontId="0" fillId="0" borderId="16" xfId="0" applyFill="1" applyBorder="1" applyAlignment="1">
      <alignment horizontal="center" vertical="center"/>
    </xf>
    <xf numFmtId="0" fontId="0" fillId="0" borderId="7" xfId="0" applyFill="1" applyBorder="1" applyAlignment="1">
      <alignment horizontal="center" vertical="center"/>
    </xf>
    <xf numFmtId="0" fontId="0" fillId="0" borderId="4" xfId="0" applyFill="1" applyBorder="1"/>
    <xf numFmtId="44" fontId="0" fillId="0" borderId="0" xfId="1" applyNumberFormat="1" applyFont="1" applyFill="1" applyBorder="1" applyAlignment="1">
      <alignment horizontal="center" vertical="center"/>
    </xf>
    <xf numFmtId="0" fontId="0" fillId="0" borderId="0" xfId="0" applyFill="1" applyBorder="1"/>
    <xf numFmtId="44" fontId="0" fillId="0" borderId="0" xfId="1" applyNumberFormat="1" applyFont="1" applyFill="1" applyBorder="1" applyAlignment="1">
      <alignment horizontal="center" vertical="center" wrapText="1"/>
    </xf>
    <xf numFmtId="44" fontId="0" fillId="0" borderId="0" xfId="2" applyFont="1" applyFill="1" applyBorder="1" applyAlignment="1">
      <alignment horizontal="center" vertical="center" wrapText="1"/>
    </xf>
    <xf numFmtId="0" fontId="0" fillId="14" borderId="0" xfId="0" applyFill="1" applyBorder="1"/>
    <xf numFmtId="0" fontId="0" fillId="14" borderId="0" xfId="0" applyFill="1" applyBorder="1" applyAlignment="1">
      <alignment horizontal="center" vertical="center"/>
    </xf>
    <xf numFmtId="0" fontId="2" fillId="0" borderId="6" xfId="0" applyFont="1" applyFill="1" applyBorder="1" applyAlignment="1">
      <alignment horizontal="center" vertical="center" wrapText="1"/>
    </xf>
    <xf numFmtId="0" fontId="1" fillId="0" borderId="4" xfId="0" applyFont="1" applyFill="1" applyBorder="1" applyAlignment="1">
      <alignment horizontal="center" vertical="center"/>
    </xf>
    <xf numFmtId="166" fontId="1" fillId="0" borderId="4" xfId="0" applyNumberFormat="1"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4" xfId="0" applyFont="1" applyFill="1" applyBorder="1" applyAlignment="1">
      <alignment horizontal="center" vertical="center"/>
    </xf>
    <xf numFmtId="0" fontId="1" fillId="0" borderId="4" xfId="0" applyFont="1" applyFill="1" applyBorder="1" applyAlignment="1">
      <alignment horizontal="center" vertical="center" wrapText="1"/>
    </xf>
    <xf numFmtId="0" fontId="0" fillId="0" borderId="4" xfId="0" applyFill="1" applyBorder="1" applyAlignment="1">
      <alignment horizontal="center"/>
    </xf>
    <xf numFmtId="1" fontId="0" fillId="0" borderId="4" xfId="0" applyNumberFormat="1" applyFill="1" applyBorder="1" applyAlignment="1">
      <alignment horizontal="center" vertical="center"/>
    </xf>
    <xf numFmtId="0" fontId="0" fillId="15" borderId="0" xfId="0" applyFill="1"/>
    <xf numFmtId="0" fontId="0" fillId="0" borderId="4" xfId="0" applyFill="1" applyBorder="1" applyAlignment="1">
      <alignment horizontal="center" wrapText="1"/>
    </xf>
    <xf numFmtId="0" fontId="0" fillId="16" borderId="0" xfId="0" applyFill="1"/>
    <xf numFmtId="0" fontId="0" fillId="17" borderId="0" xfId="0" applyFill="1"/>
    <xf numFmtId="166" fontId="0" fillId="0" borderId="4" xfId="0" applyNumberFormat="1" applyFill="1" applyBorder="1" applyAlignment="1">
      <alignment horizontal="center"/>
    </xf>
    <xf numFmtId="0" fontId="0" fillId="18" borderId="0" xfId="0" applyFill="1"/>
    <xf numFmtId="166" fontId="0" fillId="0" borderId="4" xfId="0" applyNumberFormat="1" applyFill="1" applyBorder="1" applyAlignment="1">
      <alignment horizontal="center" vertical="center"/>
    </xf>
    <xf numFmtId="0" fontId="0" fillId="19" borderId="0" xfId="0" applyFill="1"/>
    <xf numFmtId="0" fontId="0" fillId="0" borderId="0" xfId="0" applyAlignment="1">
      <alignment vertical="center"/>
    </xf>
    <xf numFmtId="0" fontId="0" fillId="20" borderId="0" xfId="0" applyFill="1"/>
    <xf numFmtId="0" fontId="0" fillId="21" borderId="0" xfId="0" applyFill="1" applyAlignment="1">
      <alignment horizontal="center" vertical="center"/>
    </xf>
    <xf numFmtId="0" fontId="0" fillId="21" borderId="5" xfId="0" applyFill="1" applyBorder="1" applyAlignment="1">
      <alignment horizontal="center" vertical="center" wrapText="1"/>
    </xf>
    <xf numFmtId="0" fontId="0" fillId="22" borderId="0" xfId="0" applyFill="1" applyAlignment="1">
      <alignment horizontal="center" vertical="center"/>
    </xf>
    <xf numFmtId="0" fontId="0" fillId="22" borderId="5" xfId="0" applyFill="1" applyBorder="1" applyAlignment="1">
      <alignment horizontal="center" vertical="center" wrapText="1"/>
    </xf>
    <xf numFmtId="0" fontId="0" fillId="17" borderId="0" xfId="0" applyFill="1" applyAlignment="1">
      <alignment horizontal="center" vertical="center"/>
    </xf>
    <xf numFmtId="0" fontId="0" fillId="17" borderId="5" xfId="0" applyFill="1" applyBorder="1" applyAlignment="1">
      <alignment horizontal="center" vertical="center" wrapText="1"/>
    </xf>
    <xf numFmtId="0" fontId="0" fillId="24" borderId="0" xfId="0" applyFill="1" applyAlignment="1">
      <alignment horizontal="center" vertical="center"/>
    </xf>
    <xf numFmtId="0" fontId="0" fillId="24" borderId="5" xfId="0" applyFill="1" applyBorder="1" applyAlignment="1">
      <alignment horizontal="center" vertical="center" wrapText="1"/>
    </xf>
    <xf numFmtId="0" fontId="0" fillId="25" borderId="0" xfId="0" applyFill="1" applyAlignment="1">
      <alignment horizontal="center" vertical="center"/>
    </xf>
    <xf numFmtId="0" fontId="0" fillId="0" borderId="0" xfId="0" applyBorder="1" applyAlignment="1">
      <alignment horizontal="center" vertical="center"/>
    </xf>
    <xf numFmtId="0" fontId="0" fillId="0" borderId="0" xfId="0" applyBorder="1"/>
    <xf numFmtId="0" fontId="0" fillId="0" borderId="11" xfId="0" applyFill="1" applyBorder="1" applyAlignment="1">
      <alignment horizontal="center" vertical="center" wrapText="1"/>
    </xf>
    <xf numFmtId="0" fontId="0" fillId="0" borderId="13" xfId="0" applyFill="1" applyBorder="1" applyAlignment="1">
      <alignment horizontal="center" vertical="center" wrapText="1"/>
    </xf>
    <xf numFmtId="2" fontId="1" fillId="0" borderId="4" xfId="0" applyNumberFormat="1" applyFont="1" applyFill="1" applyBorder="1" applyAlignment="1">
      <alignment horizontal="center" vertical="center"/>
    </xf>
    <xf numFmtId="0" fontId="0" fillId="23" borderId="0" xfId="0" applyFill="1" applyBorder="1"/>
    <xf numFmtId="0" fontId="0" fillId="23" borderId="0" xfId="0" applyFill="1"/>
    <xf numFmtId="0" fontId="0" fillId="0" borderId="4" xfId="0" applyBorder="1"/>
    <xf numFmtId="0" fontId="0" fillId="26" borderId="0" xfId="0" applyFill="1"/>
    <xf numFmtId="0" fontId="0" fillId="25" borderId="0" xfId="0" applyFill="1"/>
    <xf numFmtId="0" fontId="0" fillId="27" borderId="0" xfId="0" applyFill="1"/>
    <xf numFmtId="0" fontId="1" fillId="0" borderId="4" xfId="0" applyFont="1" applyFill="1" applyBorder="1"/>
    <xf numFmtId="0" fontId="0" fillId="28" borderId="0" xfId="0" applyFill="1"/>
    <xf numFmtId="0" fontId="0" fillId="29" borderId="0" xfId="0" applyFill="1"/>
    <xf numFmtId="0" fontId="6" fillId="0" borderId="4" xfId="0" applyFont="1" applyFill="1" applyBorder="1" applyAlignment="1">
      <alignment horizontal="center" vertical="center" wrapText="1"/>
    </xf>
    <xf numFmtId="44" fontId="0" fillId="30" borderId="4" xfId="1" applyNumberFormat="1" applyFont="1" applyFill="1" applyBorder="1" applyAlignment="1">
      <alignment horizontal="center" vertical="center" wrapText="1"/>
    </xf>
    <xf numFmtId="14" fontId="0" fillId="30" borderId="4" xfId="0" applyNumberFormat="1" applyFont="1" applyFill="1" applyBorder="1" applyAlignment="1">
      <alignment horizontal="center" vertical="center" wrapText="1"/>
    </xf>
    <xf numFmtId="44" fontId="0" fillId="30" borderId="4" xfId="0" applyNumberFormat="1" applyFont="1" applyFill="1" applyBorder="1" applyAlignment="1">
      <alignment horizontal="center" vertical="center" wrapText="1"/>
    </xf>
    <xf numFmtId="44" fontId="0" fillId="30" borderId="4" xfId="2" applyFont="1" applyFill="1" applyBorder="1" applyAlignment="1">
      <alignment horizontal="center" vertical="center" wrapText="1"/>
    </xf>
    <xf numFmtId="44" fontId="0" fillId="30" borderId="4" xfId="2" applyNumberFormat="1" applyFont="1" applyFill="1" applyBorder="1" applyAlignment="1">
      <alignment horizontal="center" vertical="center" wrapText="1"/>
    </xf>
    <xf numFmtId="0" fontId="0" fillId="30" borderId="20" xfId="0" applyFill="1" applyBorder="1" applyAlignment="1">
      <alignment horizontal="center" vertical="center" wrapText="1"/>
    </xf>
    <xf numFmtId="0" fontId="0" fillId="30" borderId="4" xfId="0" applyFill="1" applyBorder="1" applyAlignment="1">
      <alignment horizontal="center" vertical="center" wrapText="1"/>
    </xf>
    <xf numFmtId="43" fontId="0" fillId="30" borderId="4" xfId="1" applyFont="1" applyFill="1" applyBorder="1" applyAlignment="1">
      <alignment horizontal="center" vertical="center" wrapText="1"/>
    </xf>
    <xf numFmtId="44" fontId="0" fillId="31" borderId="4" xfId="1" applyNumberFormat="1" applyFont="1" applyFill="1" applyBorder="1" applyAlignment="1">
      <alignment horizontal="center" vertical="center" wrapText="1"/>
    </xf>
    <xf numFmtId="14" fontId="0" fillId="31" borderId="4" xfId="0" applyNumberFormat="1" applyFill="1" applyBorder="1" applyAlignment="1">
      <alignment horizontal="center" vertical="center" wrapText="1"/>
    </xf>
    <xf numFmtId="14" fontId="0" fillId="31" borderId="4" xfId="0" applyNumberFormat="1" applyFont="1" applyFill="1" applyBorder="1" applyAlignment="1">
      <alignment horizontal="center" vertical="center" wrapText="1"/>
    </xf>
    <xf numFmtId="44" fontId="0" fillId="31" borderId="4" xfId="2" applyFont="1" applyFill="1" applyBorder="1" applyAlignment="1">
      <alignment horizontal="center" vertical="center" wrapText="1"/>
    </xf>
    <xf numFmtId="0" fontId="0" fillId="11" borderId="4" xfId="0" applyFill="1" applyBorder="1" applyAlignment="1">
      <alignment horizontal="center" vertical="center" wrapText="1"/>
    </xf>
    <xf numFmtId="43" fontId="0" fillId="11" borderId="4" xfId="1" applyFont="1" applyFill="1" applyBorder="1" applyAlignment="1">
      <alignment horizontal="center" vertical="center" wrapText="1"/>
    </xf>
    <xf numFmtId="44" fontId="0" fillId="11" borderId="4" xfId="1" applyNumberFormat="1" applyFont="1" applyFill="1" applyBorder="1" applyAlignment="1">
      <alignment horizontal="center" vertical="center" wrapText="1"/>
    </xf>
    <xf numFmtId="14" fontId="0" fillId="11" borderId="4" xfId="0" applyNumberFormat="1" applyFill="1" applyBorder="1" applyAlignment="1">
      <alignment horizontal="center" vertical="center" wrapText="1"/>
    </xf>
    <xf numFmtId="44" fontId="0" fillId="11" borderId="4" xfId="2" applyFont="1" applyFill="1" applyBorder="1" applyAlignment="1">
      <alignment horizontal="center" vertical="center" wrapText="1"/>
    </xf>
    <xf numFmtId="43" fontId="0" fillId="4" borderId="4" xfId="1" applyFont="1" applyFill="1" applyBorder="1" applyAlignment="1">
      <alignment horizontal="center" vertical="center" wrapText="1"/>
    </xf>
    <xf numFmtId="0" fontId="0" fillId="32" borderId="4" xfId="0" applyFill="1" applyBorder="1" applyAlignment="1">
      <alignment horizontal="center" vertical="center" wrapText="1"/>
    </xf>
    <xf numFmtId="43" fontId="0" fillId="32" borderId="4" xfId="1" applyFont="1" applyFill="1" applyBorder="1" applyAlignment="1">
      <alignment horizontal="center" vertical="center" wrapText="1"/>
    </xf>
    <xf numFmtId="44" fontId="0" fillId="32" borderId="4" xfId="1" applyNumberFormat="1" applyFont="1" applyFill="1" applyBorder="1" applyAlignment="1">
      <alignment horizontal="center" vertical="center" wrapText="1"/>
    </xf>
    <xf numFmtId="14" fontId="0" fillId="32" borderId="4" xfId="0" applyNumberFormat="1" applyFill="1" applyBorder="1" applyAlignment="1">
      <alignment horizontal="center" vertical="center" wrapText="1"/>
    </xf>
    <xf numFmtId="44" fontId="0" fillId="32" borderId="4" xfId="2" applyFont="1" applyFill="1" applyBorder="1" applyAlignment="1">
      <alignment horizontal="center" vertical="center" wrapText="1"/>
    </xf>
    <xf numFmtId="43" fontId="0" fillId="4" borderId="4" xfId="0" applyNumberFormat="1" applyFill="1" applyBorder="1" applyAlignment="1">
      <alignment horizontal="center" vertical="center" wrapText="1"/>
    </xf>
    <xf numFmtId="43" fontId="0" fillId="32" borderId="4" xfId="0" applyNumberFormat="1" applyFill="1" applyBorder="1" applyAlignment="1">
      <alignment horizontal="center" vertical="center" wrapText="1"/>
    </xf>
    <xf numFmtId="2" fontId="0" fillId="12" borderId="4" xfId="0" applyNumberFormat="1" applyFill="1" applyBorder="1" applyAlignment="1">
      <alignment horizontal="center" vertical="center"/>
    </xf>
    <xf numFmtId="0" fontId="0" fillId="0" borderId="11" xfId="0" applyFill="1" applyBorder="1" applyAlignment="1">
      <alignment horizontal="center" vertical="center"/>
    </xf>
    <xf numFmtId="0" fontId="0" fillId="0" borderId="4" xfId="0" applyFont="1" applyFill="1" applyBorder="1" applyAlignment="1">
      <alignment horizontal="center" vertical="center" wrapText="1"/>
    </xf>
    <xf numFmtId="0" fontId="0" fillId="0" borderId="4" xfId="0" applyFont="1" applyBorder="1" applyAlignment="1">
      <alignment horizontal="center" vertical="center" wrapText="1"/>
    </xf>
    <xf numFmtId="44" fontId="0" fillId="0" borderId="4" xfId="0" applyNumberFormat="1" applyBorder="1" applyAlignment="1">
      <alignment horizontal="center" vertical="center" wrapText="1"/>
    </xf>
    <xf numFmtId="0" fontId="0" fillId="0" borderId="4" xfId="0" applyBorder="1" applyAlignment="1">
      <alignment horizontal="center" wrapText="1"/>
    </xf>
    <xf numFmtId="44" fontId="2" fillId="2" borderId="6" xfId="1" applyNumberFormat="1" applyFont="1" applyFill="1" applyBorder="1" applyAlignment="1">
      <alignment horizontal="center" vertical="center" wrapText="1"/>
    </xf>
    <xf numFmtId="44" fontId="2" fillId="2" borderId="6" xfId="2" applyFont="1" applyFill="1" applyBorder="1" applyAlignment="1">
      <alignment horizontal="center" vertical="center" wrapText="1"/>
    </xf>
    <xf numFmtId="0" fontId="2" fillId="2" borderId="17" xfId="0" applyFont="1" applyFill="1" applyBorder="1" applyAlignment="1">
      <alignment horizontal="center" vertical="center" wrapText="1"/>
    </xf>
    <xf numFmtId="43" fontId="2" fillId="2" borderId="6" xfId="1" applyFont="1" applyFill="1" applyBorder="1" applyAlignment="1">
      <alignment horizontal="center" vertical="center" wrapText="1"/>
    </xf>
    <xf numFmtId="0" fontId="0" fillId="2" borderId="7" xfId="0" applyFill="1" applyBorder="1" applyAlignment="1">
      <alignment horizontal="center" vertical="center" wrapText="1"/>
    </xf>
    <xf numFmtId="0" fontId="0" fillId="4" borderId="4" xfId="0" applyFont="1" applyFill="1" applyBorder="1" applyAlignment="1">
      <alignment horizontal="center" vertical="center" wrapText="1"/>
    </xf>
    <xf numFmtId="44" fontId="0" fillId="4" borderId="4" xfId="0" applyNumberFormat="1" applyFont="1" applyFill="1" applyBorder="1" applyAlignment="1">
      <alignment horizontal="center" vertical="center" wrapText="1"/>
    </xf>
    <xf numFmtId="14" fontId="0" fillId="4" borderId="4" xfId="0" applyNumberFormat="1" applyFont="1" applyFill="1" applyBorder="1" applyAlignment="1">
      <alignment horizontal="center" vertical="center" wrapText="1"/>
    </xf>
    <xf numFmtId="168" fontId="0" fillId="4" borderId="4" xfId="0" applyNumberFormat="1" applyFont="1" applyFill="1" applyBorder="1" applyAlignment="1">
      <alignment horizontal="center" vertical="center" wrapText="1"/>
    </xf>
    <xf numFmtId="0" fontId="0" fillId="4" borderId="0" xfId="0" applyFill="1" applyBorder="1" applyAlignment="1">
      <alignment horizontal="center" vertical="center" wrapText="1"/>
    </xf>
    <xf numFmtId="0" fontId="0" fillId="5" borderId="4" xfId="0" applyFont="1" applyFill="1" applyBorder="1" applyAlignment="1">
      <alignment horizontal="center" vertical="center" wrapText="1"/>
    </xf>
    <xf numFmtId="44" fontId="0" fillId="5" borderId="4" xfId="0" applyNumberFormat="1" applyFont="1" applyFill="1" applyBorder="1" applyAlignment="1">
      <alignment horizontal="center" vertical="center" wrapText="1"/>
    </xf>
    <xf numFmtId="0" fontId="0" fillId="5" borderId="4" xfId="0" applyFont="1" applyFill="1" applyBorder="1" applyAlignment="1">
      <alignment horizontal="center" vertical="center"/>
    </xf>
    <xf numFmtId="14" fontId="0" fillId="5" borderId="4" xfId="0" applyNumberFormat="1" applyFont="1" applyFill="1" applyBorder="1" applyAlignment="1">
      <alignment horizontal="center" vertical="center"/>
    </xf>
    <xf numFmtId="44" fontId="0" fillId="5" borderId="4" xfId="0" applyNumberFormat="1" applyFont="1" applyFill="1" applyBorder="1" applyAlignment="1">
      <alignment horizontal="center" vertical="center"/>
    </xf>
    <xf numFmtId="2" fontId="0" fillId="5" borderId="4" xfId="0" applyNumberFormat="1" applyFont="1" applyFill="1" applyBorder="1" applyAlignment="1">
      <alignment horizontal="center" vertical="center"/>
    </xf>
    <xf numFmtId="14" fontId="0" fillId="5" borderId="4" xfId="0" applyNumberFormat="1" applyFont="1" applyFill="1" applyBorder="1" applyAlignment="1">
      <alignment horizontal="center" vertical="center" wrapText="1"/>
    </xf>
    <xf numFmtId="165" fontId="0" fillId="5" borderId="4" xfId="0" applyNumberFormat="1" applyFont="1" applyFill="1" applyBorder="1" applyAlignment="1">
      <alignment horizontal="center" vertical="center" wrapText="1"/>
    </xf>
    <xf numFmtId="0" fontId="0" fillId="5" borderId="4" xfId="0" applyFont="1" applyFill="1" applyBorder="1" applyAlignment="1">
      <alignment horizontal="center" wrapText="1"/>
    </xf>
    <xf numFmtId="0" fontId="0" fillId="5" borderId="4" xfId="0" applyFill="1" applyBorder="1"/>
    <xf numFmtId="14" fontId="0" fillId="5" borderId="4" xfId="0" applyNumberFormat="1" applyFill="1" applyBorder="1" applyAlignment="1">
      <alignment vertical="center"/>
    </xf>
    <xf numFmtId="44" fontId="0" fillId="5" borderId="8" xfId="0" applyNumberFormat="1" applyFont="1" applyFill="1" applyBorder="1" applyAlignment="1">
      <alignment horizontal="center" vertical="center" wrapText="1"/>
    </xf>
    <xf numFmtId="0" fontId="0" fillId="5" borderId="0" xfId="0" applyFill="1" applyBorder="1" applyAlignment="1">
      <alignment horizontal="center" vertical="center"/>
    </xf>
    <xf numFmtId="0" fontId="0" fillId="5" borderId="0" xfId="0" applyFill="1" applyBorder="1" applyAlignment="1">
      <alignment horizontal="center" vertical="center" wrapText="1"/>
    </xf>
    <xf numFmtId="14" fontId="0" fillId="5" borderId="0" xfId="0" applyNumberFormat="1" applyFont="1" applyFill="1" applyBorder="1" applyAlignment="1">
      <alignment horizontal="center" vertical="center"/>
    </xf>
    <xf numFmtId="14" fontId="0" fillId="5" borderId="0" xfId="0" applyNumberFormat="1" applyFill="1" applyBorder="1" applyAlignment="1">
      <alignment vertical="center"/>
    </xf>
    <xf numFmtId="0" fontId="0" fillId="5" borderId="0" xfId="0" applyFill="1" applyBorder="1"/>
    <xf numFmtId="44" fontId="0" fillId="5" borderId="0" xfId="0" applyNumberFormat="1" applyFont="1" applyFill="1" applyBorder="1" applyAlignment="1">
      <alignment horizontal="center" vertical="center" wrapText="1"/>
    </xf>
    <xf numFmtId="44" fontId="0" fillId="5" borderId="0" xfId="0" applyNumberFormat="1" applyFont="1" applyFill="1" applyBorder="1" applyAlignment="1">
      <alignment horizontal="center" vertical="center"/>
    </xf>
    <xf numFmtId="165" fontId="0" fillId="5" borderId="0" xfId="0" applyNumberFormat="1"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0" xfId="0" applyFont="1" applyFill="1" applyBorder="1" applyAlignment="1">
      <alignment horizontal="center" vertical="center"/>
    </xf>
    <xf numFmtId="0" fontId="0" fillId="31" borderId="4" xfId="0" applyFill="1" applyBorder="1" applyAlignment="1">
      <alignment horizontal="center" vertical="center" wrapText="1"/>
    </xf>
    <xf numFmtId="2" fontId="0" fillId="4" borderId="4" xfId="0" applyNumberFormat="1" applyFont="1" applyFill="1" applyBorder="1" applyAlignment="1">
      <alignment horizontal="center" vertical="center"/>
    </xf>
    <xf numFmtId="0" fontId="0" fillId="5" borderId="0" xfId="0" applyFill="1" applyAlignment="1">
      <alignment horizontal="center" vertical="center" wrapText="1"/>
    </xf>
    <xf numFmtId="0" fontId="0" fillId="31" borderId="4" xfId="0" applyFont="1" applyFill="1" applyBorder="1" applyAlignment="1">
      <alignment horizontal="center" vertical="center" wrapText="1"/>
    </xf>
    <xf numFmtId="0" fontId="0" fillId="31" borderId="4" xfId="0" applyFont="1" applyFill="1" applyBorder="1" applyAlignment="1">
      <alignment horizontal="center" wrapText="1"/>
    </xf>
    <xf numFmtId="44" fontId="0" fillId="31" borderId="4" xfId="0" applyNumberFormat="1" applyFont="1" applyFill="1" applyBorder="1" applyAlignment="1">
      <alignment horizontal="center" vertical="center"/>
    </xf>
    <xf numFmtId="0" fontId="0" fillId="31" borderId="4" xfId="0" applyFill="1" applyBorder="1" applyAlignment="1">
      <alignment horizontal="center" vertical="center"/>
    </xf>
    <xf numFmtId="14" fontId="0" fillId="31" borderId="4" xfId="0" applyNumberFormat="1" applyFill="1" applyBorder="1" applyAlignment="1">
      <alignment horizontal="center" vertical="center"/>
    </xf>
    <xf numFmtId="44" fontId="0" fillId="31" borderId="4" xfId="0" applyNumberFormat="1" applyFill="1" applyBorder="1" applyAlignment="1">
      <alignment horizontal="center" vertical="center"/>
    </xf>
    <xf numFmtId="2" fontId="0" fillId="31" borderId="4" xfId="0" applyNumberFormat="1" applyFont="1" applyFill="1" applyBorder="1" applyAlignment="1">
      <alignment horizontal="center" vertical="center"/>
    </xf>
    <xf numFmtId="0" fontId="0" fillId="31" borderId="0" xfId="0" applyFill="1" applyAlignment="1">
      <alignment horizontal="center" vertical="center" wrapText="1"/>
    </xf>
    <xf numFmtId="0" fontId="0" fillId="31" borderId="8" xfId="0" applyFont="1" applyFill="1" applyBorder="1" applyAlignment="1">
      <alignment horizontal="center" vertical="center" wrapText="1"/>
    </xf>
    <xf numFmtId="0" fontId="0" fillId="31" borderId="4" xfId="0" applyFont="1" applyFill="1" applyBorder="1" applyAlignment="1">
      <alignment horizontal="center" vertical="center"/>
    </xf>
    <xf numFmtId="14" fontId="0" fillId="31" borderId="4" xfId="0" applyNumberFormat="1" applyFont="1" applyFill="1" applyBorder="1" applyAlignment="1">
      <alignment horizontal="center" vertical="center"/>
    </xf>
    <xf numFmtId="44" fontId="0" fillId="31" borderId="4" xfId="0" applyNumberFormat="1" applyFont="1" applyFill="1" applyBorder="1" applyAlignment="1">
      <alignment horizontal="center" vertical="center" wrapText="1"/>
    </xf>
    <xf numFmtId="165" fontId="0" fillId="31" borderId="4" xfId="0" applyNumberFormat="1" applyFont="1" applyFill="1" applyBorder="1" applyAlignment="1">
      <alignment horizontal="center" vertical="center" wrapText="1"/>
    </xf>
    <xf numFmtId="0" fontId="0" fillId="31" borderId="7" xfId="0" applyFill="1" applyBorder="1" applyAlignment="1">
      <alignment horizontal="center" vertical="center" wrapText="1"/>
    </xf>
    <xf numFmtId="0" fontId="0" fillId="31" borderId="4" xfId="0" applyFill="1" applyBorder="1"/>
    <xf numFmtId="44" fontId="0" fillId="31" borderId="4" xfId="0" applyNumberFormat="1" applyFill="1" applyBorder="1"/>
    <xf numFmtId="0" fontId="0" fillId="33" borderId="8" xfId="0" applyFill="1" applyBorder="1" applyAlignment="1">
      <alignment horizontal="center" vertical="center" wrapText="1"/>
    </xf>
    <xf numFmtId="43" fontId="0" fillId="33" borderId="8" xfId="1" applyFont="1" applyFill="1" applyBorder="1" applyAlignment="1">
      <alignment horizontal="center" vertical="center" wrapText="1"/>
    </xf>
    <xf numFmtId="0" fontId="0" fillId="33" borderId="4" xfId="0" applyFill="1" applyBorder="1" applyAlignment="1">
      <alignment horizontal="center" vertical="center" wrapText="1"/>
    </xf>
    <xf numFmtId="0" fontId="0" fillId="0" borderId="4" xfId="0" applyBorder="1" applyAlignment="1"/>
    <xf numFmtId="43" fontId="0" fillId="12" borderId="8" xfId="1" applyFont="1" applyFill="1" applyBorder="1" applyAlignment="1">
      <alignment horizontal="center" vertical="center" wrapText="1"/>
    </xf>
    <xf numFmtId="0" fontId="0" fillId="12" borderId="7" xfId="0" applyFill="1" applyBorder="1" applyAlignment="1">
      <alignment horizontal="center" vertical="center" wrapText="1"/>
    </xf>
    <xf numFmtId="0" fontId="0" fillId="12" borderId="8" xfId="0" applyFill="1" applyBorder="1" applyAlignment="1">
      <alignment horizontal="center" vertical="center" wrapText="1"/>
    </xf>
    <xf numFmtId="0" fontId="0" fillId="33" borderId="4" xfId="0" applyFill="1" applyBorder="1" applyAlignment="1">
      <alignment horizontal="center" vertical="top" wrapText="1"/>
    </xf>
    <xf numFmtId="0" fontId="0" fillId="0" borderId="4" xfId="0" applyBorder="1" applyAlignment="1">
      <alignment vertical="center"/>
    </xf>
    <xf numFmtId="0" fontId="0" fillId="34" borderId="4" xfId="0" applyFill="1" applyBorder="1" applyAlignment="1">
      <alignment horizontal="center" vertical="center"/>
    </xf>
    <xf numFmtId="0" fontId="0" fillId="7" borderId="4" xfId="0" applyFill="1" applyBorder="1" applyAlignment="1">
      <alignment horizontal="center" vertical="center"/>
    </xf>
    <xf numFmtId="44" fontId="0" fillId="33" borderId="4" xfId="1" applyNumberFormat="1" applyFont="1" applyFill="1" applyBorder="1" applyAlignment="1">
      <alignment horizontal="center" vertical="center" wrapText="1"/>
    </xf>
    <xf numFmtId="0" fontId="0" fillId="7" borderId="8" xfId="0" applyFill="1" applyBorder="1" applyAlignment="1">
      <alignment horizontal="center"/>
    </xf>
    <xf numFmtId="0" fontId="0" fillId="12" borderId="13" xfId="0" applyFill="1" applyBorder="1" applyAlignment="1">
      <alignment horizontal="center" vertical="center" wrapText="1"/>
    </xf>
    <xf numFmtId="14" fontId="0" fillId="12" borderId="4" xfId="0" applyNumberFormat="1" applyFill="1" applyBorder="1" applyAlignment="1">
      <alignment horizontal="center" vertical="center" wrapText="1"/>
    </xf>
    <xf numFmtId="44" fontId="0" fillId="12" borderId="4" xfId="2" applyFont="1" applyFill="1" applyBorder="1" applyAlignment="1">
      <alignment horizontal="center" vertical="center" wrapText="1"/>
    </xf>
    <xf numFmtId="2" fontId="0" fillId="34" borderId="4" xfId="0" applyNumberFormat="1" applyFont="1" applyFill="1" applyBorder="1" applyAlignment="1">
      <alignment horizontal="center" vertical="center"/>
    </xf>
    <xf numFmtId="2" fontId="0" fillId="32" borderId="4" xfId="0" applyNumberFormat="1" applyFont="1" applyFill="1" applyBorder="1" applyAlignment="1">
      <alignment horizontal="center" vertical="center"/>
    </xf>
    <xf numFmtId="2" fontId="0" fillId="12" borderId="4" xfId="0" applyNumberFormat="1" applyFont="1" applyFill="1" applyBorder="1" applyAlignment="1">
      <alignment horizontal="center" vertical="center"/>
    </xf>
    <xf numFmtId="0" fontId="0" fillId="34" borderId="21" xfId="0" applyFill="1" applyBorder="1" applyAlignment="1">
      <alignment horizontal="center" vertical="center" wrapText="1"/>
    </xf>
    <xf numFmtId="0" fontId="0" fillId="34" borderId="4" xfId="0" applyFill="1" applyBorder="1" applyAlignment="1">
      <alignment horizontal="center" vertical="center" wrapText="1"/>
    </xf>
    <xf numFmtId="44" fontId="0" fillId="34" borderId="4" xfId="1" applyNumberFormat="1" applyFont="1" applyFill="1" applyBorder="1" applyAlignment="1">
      <alignment horizontal="center" vertical="center" wrapText="1"/>
    </xf>
    <xf numFmtId="14" fontId="0" fillId="34" borderId="4" xfId="0" applyNumberFormat="1" applyFill="1" applyBorder="1" applyAlignment="1">
      <alignment horizontal="center" vertical="center" wrapText="1"/>
    </xf>
    <xf numFmtId="44" fontId="0" fillId="34" borderId="4" xfId="2" applyFont="1" applyFill="1" applyBorder="1" applyAlignment="1">
      <alignment horizontal="center" vertical="center" wrapText="1"/>
    </xf>
    <xf numFmtId="0" fontId="0" fillId="34" borderId="0" xfId="0" applyFill="1"/>
    <xf numFmtId="43" fontId="0" fillId="34" borderId="4" xfId="1" applyFont="1" applyFill="1" applyBorder="1" applyAlignment="1">
      <alignment horizontal="center" vertical="center" wrapText="1"/>
    </xf>
    <xf numFmtId="0" fontId="0" fillId="34" borderId="4" xfId="0" applyFill="1" applyBorder="1"/>
    <xf numFmtId="0" fontId="0" fillId="32" borderId="4" xfId="0" applyFill="1" applyBorder="1" applyAlignment="1">
      <alignment horizontal="center" vertical="center"/>
    </xf>
    <xf numFmtId="0" fontId="0" fillId="34" borderId="4" xfId="0" applyFill="1" applyBorder="1" applyAlignment="1"/>
    <xf numFmtId="0" fontId="0" fillId="32" borderId="4" xfId="0" applyFill="1" applyBorder="1" applyAlignment="1">
      <alignment horizontal="center" vertical="center" wrapText="1"/>
    </xf>
    <xf numFmtId="0" fontId="0" fillId="12" borderId="4" xfId="0" applyFill="1" applyBorder="1" applyAlignment="1">
      <alignment horizontal="center" vertical="center" wrapText="1"/>
    </xf>
    <xf numFmtId="0" fontId="0" fillId="36" borderId="7" xfId="0" applyFill="1" applyBorder="1" applyAlignment="1">
      <alignment horizontal="center"/>
    </xf>
    <xf numFmtId="0" fontId="0" fillId="12" borderId="0" xfId="0" applyFill="1" applyBorder="1" applyAlignment="1">
      <alignment horizontal="center" vertical="center" wrapText="1"/>
    </xf>
    <xf numFmtId="44" fontId="0" fillId="12" borderId="0" xfId="1" applyNumberFormat="1" applyFont="1" applyFill="1" applyBorder="1" applyAlignment="1">
      <alignment horizontal="center" vertical="center" wrapText="1"/>
    </xf>
    <xf numFmtId="44" fontId="0" fillId="12" borderId="0" xfId="2" applyFont="1" applyFill="1" applyBorder="1" applyAlignment="1">
      <alignment horizontal="center" vertical="center" wrapText="1"/>
    </xf>
    <xf numFmtId="0" fontId="0" fillId="36" borderId="8" xfId="0" applyFill="1" applyBorder="1" applyAlignment="1">
      <alignment horizontal="center" vertical="center"/>
    </xf>
    <xf numFmtId="0" fontId="0" fillId="36" borderId="7" xfId="0" applyFill="1" applyBorder="1" applyAlignment="1">
      <alignment horizontal="center" vertical="center"/>
    </xf>
    <xf numFmtId="0" fontId="0" fillId="12" borderId="7" xfId="0" applyFill="1" applyBorder="1" applyAlignment="1">
      <alignment horizontal="center" vertical="center"/>
    </xf>
    <xf numFmtId="0" fontId="0" fillId="12" borderId="19" xfId="0" applyFill="1" applyBorder="1" applyAlignment="1">
      <alignment horizontal="center" vertical="center" wrapText="1"/>
    </xf>
    <xf numFmtId="2" fontId="0" fillId="12" borderId="7" xfId="0" applyNumberFormat="1" applyFont="1" applyFill="1" applyBorder="1" applyAlignment="1">
      <alignment horizontal="center" vertical="center"/>
    </xf>
    <xf numFmtId="0" fontId="0" fillId="35" borderId="4" xfId="0" applyFill="1" applyBorder="1" applyAlignment="1">
      <alignment horizontal="center" vertical="center" wrapText="1"/>
    </xf>
    <xf numFmtId="43" fontId="0" fillId="35" borderId="4" xfId="1" applyFont="1" applyFill="1" applyBorder="1" applyAlignment="1">
      <alignment horizontal="center" vertical="center" wrapText="1"/>
    </xf>
    <xf numFmtId="0" fontId="0" fillId="35" borderId="4" xfId="0" applyFill="1" applyBorder="1" applyAlignment="1">
      <alignment horizontal="center" vertical="center"/>
    </xf>
    <xf numFmtId="44" fontId="0" fillId="35" borderId="4" xfId="1" applyNumberFormat="1" applyFont="1" applyFill="1" applyBorder="1" applyAlignment="1">
      <alignment horizontal="center" vertical="center" wrapText="1"/>
    </xf>
    <xf numFmtId="0" fontId="0" fillId="35" borderId="4" xfId="0" applyFill="1" applyBorder="1"/>
    <xf numFmtId="2" fontId="0" fillId="35" borderId="4" xfId="0" applyNumberFormat="1" applyFont="1" applyFill="1" applyBorder="1" applyAlignment="1">
      <alignment horizontal="center" vertical="center"/>
    </xf>
    <xf numFmtId="0" fontId="0" fillId="2" borderId="4" xfId="0" applyFill="1" applyBorder="1" applyAlignment="1">
      <alignment horizontal="center" vertical="center" wrapText="1"/>
    </xf>
    <xf numFmtId="0" fontId="0" fillId="31" borderId="4" xfId="0" applyFill="1" applyBorder="1" applyAlignment="1">
      <alignment horizontal="center" vertical="center" wrapText="1"/>
    </xf>
    <xf numFmtId="44" fontId="0" fillId="31" borderId="4" xfId="0" applyNumberFormat="1" applyFill="1" applyBorder="1" applyAlignment="1">
      <alignment horizontal="center" vertical="center" wrapText="1"/>
    </xf>
    <xf numFmtId="43" fontId="0" fillId="31" borderId="4" xfId="1" applyFont="1" applyFill="1" applyBorder="1" applyAlignment="1">
      <alignment horizontal="center" vertical="center" wrapText="1"/>
    </xf>
    <xf numFmtId="0" fontId="6" fillId="31" borderId="4" xfId="0" applyFont="1" applyFill="1" applyBorder="1" applyAlignment="1">
      <alignment horizontal="center" vertical="center" wrapText="1"/>
    </xf>
    <xf numFmtId="0" fontId="6" fillId="30" borderId="7" xfId="0" applyFont="1" applyFill="1" applyBorder="1" applyAlignment="1">
      <alignment horizontal="center" vertical="center" wrapText="1"/>
    </xf>
    <xf numFmtId="0" fontId="0" fillId="30" borderId="19" xfId="0" applyFont="1" applyFill="1" applyBorder="1" applyAlignment="1">
      <alignment horizontal="center" vertical="center" wrapText="1"/>
    </xf>
    <xf numFmtId="0" fontId="0" fillId="30" borderId="4" xfId="0" applyFont="1" applyFill="1" applyBorder="1" applyAlignment="1">
      <alignment horizontal="center" vertical="center" wrapText="1"/>
    </xf>
    <xf numFmtId="0" fontId="0" fillId="30" borderId="7" xfId="0" applyFont="1" applyFill="1" applyBorder="1" applyAlignment="1">
      <alignment horizontal="center" vertical="center" wrapText="1"/>
    </xf>
    <xf numFmtId="0" fontId="0" fillId="4" borderId="4" xfId="0" applyFill="1" applyBorder="1" applyAlignment="1">
      <alignment horizontal="center" vertical="center" wrapText="1"/>
    </xf>
    <xf numFmtId="0" fontId="0" fillId="5" borderId="4" xfId="0" applyFill="1" applyBorder="1" applyAlignment="1">
      <alignment horizontal="center" vertical="center" wrapText="1"/>
    </xf>
    <xf numFmtId="0" fontId="0" fillId="34" borderId="4" xfId="0" applyFill="1" applyBorder="1" applyAlignment="1">
      <alignment horizontal="center" vertical="center" wrapText="1"/>
    </xf>
    <xf numFmtId="0" fontId="0" fillId="32" borderId="4" xfId="0" applyFill="1" applyBorder="1" applyAlignment="1">
      <alignment horizontal="center" vertical="center" wrapText="1"/>
    </xf>
    <xf numFmtId="0" fontId="0" fillId="12" borderId="4" xfId="0" applyFill="1" applyBorder="1" applyAlignment="1">
      <alignment horizontal="center" vertical="center" wrapText="1"/>
    </xf>
    <xf numFmtId="44" fontId="0" fillId="32" borderId="4" xfId="0" applyNumberFormat="1" applyFill="1" applyBorder="1" applyAlignment="1">
      <alignment horizontal="center" vertical="center" wrapText="1"/>
    </xf>
    <xf numFmtId="0" fontId="0" fillId="37" borderId="4" xfId="0" applyFill="1" applyBorder="1" applyAlignment="1">
      <alignment horizontal="center" vertical="center" wrapText="1"/>
    </xf>
    <xf numFmtId="44" fontId="0" fillId="37" borderId="4" xfId="1" applyNumberFormat="1" applyFont="1" applyFill="1" applyBorder="1" applyAlignment="1">
      <alignment horizontal="center" vertical="center" wrapText="1"/>
    </xf>
    <xf numFmtId="14" fontId="0" fillId="37" borderId="4" xfId="0" applyNumberFormat="1" applyFill="1" applyBorder="1" applyAlignment="1">
      <alignment horizontal="center" vertical="center" wrapText="1"/>
    </xf>
    <xf numFmtId="44" fontId="0" fillId="37" borderId="4" xfId="2" applyFont="1" applyFill="1" applyBorder="1" applyAlignment="1">
      <alignment horizontal="center" vertical="center" wrapText="1"/>
    </xf>
    <xf numFmtId="2" fontId="0" fillId="37" borderId="4" xfId="0" applyNumberFormat="1" applyFont="1" applyFill="1" applyBorder="1" applyAlignment="1">
      <alignment horizontal="center" vertical="center"/>
    </xf>
    <xf numFmtId="0" fontId="0" fillId="37" borderId="4" xfId="0" applyFill="1" applyBorder="1"/>
    <xf numFmtId="0" fontId="0" fillId="38" borderId="4" xfId="0" applyFill="1" applyBorder="1"/>
    <xf numFmtId="0" fontId="0" fillId="38" borderId="4" xfId="0" applyFill="1" applyBorder="1" applyAlignment="1">
      <alignment horizontal="center" vertical="center" wrapText="1"/>
    </xf>
    <xf numFmtId="44" fontId="0" fillId="38" borderId="4" xfId="1" applyNumberFormat="1" applyFont="1" applyFill="1" applyBorder="1" applyAlignment="1">
      <alignment horizontal="center" vertical="center" wrapText="1"/>
    </xf>
    <xf numFmtId="14" fontId="0" fillId="38" borderId="4" xfId="0" applyNumberFormat="1" applyFill="1" applyBorder="1" applyAlignment="1">
      <alignment horizontal="center" vertical="center" wrapText="1"/>
    </xf>
    <xf numFmtId="44" fontId="0" fillId="38" borderId="4" xfId="2" applyFont="1" applyFill="1" applyBorder="1" applyAlignment="1">
      <alignment horizontal="center" vertical="center" wrapText="1"/>
    </xf>
    <xf numFmtId="0" fontId="0" fillId="38" borderId="4" xfId="0" applyFill="1" applyBorder="1" applyAlignment="1">
      <alignment horizontal="center" vertical="center"/>
    </xf>
    <xf numFmtId="44" fontId="0" fillId="38" borderId="4" xfId="2" applyFont="1" applyFill="1" applyBorder="1" applyAlignment="1">
      <alignment horizontal="center" vertical="center"/>
    </xf>
    <xf numFmtId="14" fontId="0" fillId="38" borderId="4" xfId="0" applyNumberFormat="1" applyFill="1" applyBorder="1" applyAlignment="1">
      <alignment horizontal="center" vertical="center"/>
    </xf>
    <xf numFmtId="44" fontId="0" fillId="38" borderId="4" xfId="0" applyNumberFormat="1" applyFill="1" applyBorder="1" applyAlignment="1">
      <alignment horizontal="center" vertical="center"/>
    </xf>
    <xf numFmtId="2" fontId="0" fillId="38" borderId="4" xfId="0" applyNumberFormat="1" applyFont="1" applyFill="1" applyBorder="1" applyAlignment="1">
      <alignment horizontal="center" vertical="center"/>
    </xf>
    <xf numFmtId="0" fontId="0" fillId="39" borderId="4" xfId="0" applyFill="1" applyBorder="1" applyAlignment="1">
      <alignment horizontal="center" vertical="center" wrapText="1"/>
    </xf>
    <xf numFmtId="44" fontId="0" fillId="39" borderId="4" xfId="1" applyNumberFormat="1" applyFont="1" applyFill="1" applyBorder="1" applyAlignment="1">
      <alignment horizontal="center" vertical="center" wrapText="1"/>
    </xf>
    <xf numFmtId="14" fontId="0" fillId="39" borderId="4" xfId="0" applyNumberFormat="1" applyFill="1" applyBorder="1" applyAlignment="1">
      <alignment horizontal="center" vertical="center" wrapText="1"/>
    </xf>
    <xf numFmtId="44" fontId="0" fillId="39" borderId="4" xfId="2" applyFont="1" applyFill="1" applyBorder="1" applyAlignment="1">
      <alignment horizontal="center" vertical="center" wrapText="1"/>
    </xf>
    <xf numFmtId="2" fontId="0" fillId="39" borderId="4" xfId="0" applyNumberFormat="1" applyFont="1" applyFill="1" applyBorder="1" applyAlignment="1">
      <alignment horizontal="center" vertical="center"/>
    </xf>
    <xf numFmtId="0" fontId="8" fillId="4" borderId="0" xfId="0" applyFont="1" applyFill="1" applyAlignment="1">
      <alignment horizontal="center" vertical="center" wrapText="1"/>
    </xf>
    <xf numFmtId="0" fontId="8" fillId="4" borderId="4" xfId="0" applyFont="1" applyFill="1" applyBorder="1" applyAlignment="1">
      <alignment horizontal="center" vertical="center" wrapText="1"/>
    </xf>
    <xf numFmtId="0" fontId="8" fillId="5" borderId="0" xfId="0" applyFont="1" applyFill="1" applyAlignment="1">
      <alignment horizontal="center" vertical="center" wrapText="1"/>
    </xf>
    <xf numFmtId="0" fontId="8" fillId="5" borderId="4" xfId="0" applyFont="1" applyFill="1" applyBorder="1" applyAlignment="1">
      <alignment horizontal="center" vertical="center" wrapText="1"/>
    </xf>
    <xf numFmtId="0" fontId="2" fillId="2" borderId="4" xfId="0" applyFont="1" applyFill="1" applyBorder="1" applyAlignment="1">
      <alignment horizontal="center" vertical="center" wrapText="1"/>
    </xf>
    <xf numFmtId="44" fontId="2" fillId="2" borderId="4" xfId="1" applyNumberFormat="1" applyFont="1" applyFill="1" applyBorder="1" applyAlignment="1">
      <alignment horizontal="center" vertical="center" wrapText="1"/>
    </xf>
    <xf numFmtId="44" fontId="2" fillId="2" borderId="4" xfId="2" applyFont="1" applyFill="1" applyBorder="1" applyAlignment="1">
      <alignment horizontal="center" vertical="center" wrapText="1"/>
    </xf>
    <xf numFmtId="0" fontId="1" fillId="2" borderId="4" xfId="0" applyFont="1" applyFill="1" applyBorder="1" applyAlignment="1">
      <alignment horizontal="center" vertical="center" wrapText="1"/>
    </xf>
    <xf numFmtId="44" fontId="0" fillId="30" borderId="7" xfId="1" applyNumberFormat="1" applyFont="1" applyFill="1" applyBorder="1" applyAlignment="1">
      <alignment horizontal="center" vertical="center" wrapText="1"/>
    </xf>
    <xf numFmtId="14" fontId="0" fillId="30" borderId="7" xfId="0" applyNumberFormat="1" applyFont="1" applyFill="1" applyBorder="1" applyAlignment="1">
      <alignment horizontal="center" vertical="center" wrapText="1"/>
    </xf>
    <xf numFmtId="44" fontId="0" fillId="30" borderId="7" xfId="2" applyFont="1" applyFill="1" applyBorder="1" applyAlignment="1">
      <alignment horizontal="center" vertical="center" wrapText="1"/>
    </xf>
    <xf numFmtId="44" fontId="0" fillId="30" borderId="8" xfId="1" applyNumberFormat="1" applyFont="1" applyFill="1" applyBorder="1" applyAlignment="1">
      <alignment horizontal="center" vertical="center" wrapText="1"/>
    </xf>
    <xf numFmtId="0" fontId="0" fillId="30" borderId="0" xfId="0" applyFont="1" applyFill="1" applyAlignment="1">
      <alignment horizontal="center" vertical="center" wrapText="1"/>
    </xf>
    <xf numFmtId="2" fontId="0" fillId="30" borderId="7" xfId="0" applyNumberFormat="1" applyFont="1" applyFill="1" applyBorder="1" applyAlignment="1">
      <alignment horizontal="center" vertical="center" wrapText="1"/>
    </xf>
    <xf numFmtId="0" fontId="0" fillId="30" borderId="4" xfId="0" applyNumberFormat="1" applyFont="1" applyFill="1" applyBorder="1" applyAlignment="1">
      <alignment horizontal="center" vertical="center" wrapText="1"/>
    </xf>
    <xf numFmtId="0" fontId="0" fillId="13" borderId="4" xfId="0" applyFill="1" applyBorder="1" applyAlignment="1">
      <alignment horizontal="center" vertical="center"/>
    </xf>
    <xf numFmtId="0" fontId="0" fillId="13" borderId="4" xfId="0" applyFill="1" applyBorder="1" applyAlignment="1">
      <alignment horizontal="center" vertical="center" wrapText="1"/>
    </xf>
    <xf numFmtId="44" fontId="0" fillId="13" borderId="4" xfId="0" applyNumberFormat="1" applyFill="1" applyBorder="1" applyAlignment="1">
      <alignment horizontal="center" vertical="center"/>
    </xf>
    <xf numFmtId="0" fontId="0" fillId="6" borderId="4" xfId="0" applyFill="1" applyBorder="1" applyAlignment="1">
      <alignment horizontal="center" vertical="center" wrapText="1"/>
    </xf>
    <xf numFmtId="0" fontId="0" fillId="32" borderId="4" xfId="0" applyFill="1" applyBorder="1" applyAlignment="1">
      <alignment horizontal="center" vertical="center" wrapText="1"/>
    </xf>
    <xf numFmtId="16" fontId="0" fillId="0" borderId="0" xfId="0" applyNumberFormat="1"/>
    <xf numFmtId="2" fontId="0" fillId="0" borderId="0" xfId="0" applyNumberFormat="1"/>
    <xf numFmtId="44" fontId="0" fillId="38" borderId="4" xfId="0" applyNumberFormat="1" applyFill="1" applyBorder="1"/>
    <xf numFmtId="44" fontId="0" fillId="37" borderId="4" xfId="0" applyNumberFormat="1" applyFill="1" applyBorder="1"/>
    <xf numFmtId="44" fontId="0" fillId="0" borderId="0" xfId="0" applyNumberFormat="1"/>
    <xf numFmtId="44" fontId="0" fillId="34" borderId="0" xfId="0" applyNumberFormat="1" applyFill="1"/>
    <xf numFmtId="0" fontId="0" fillId="2" borderId="4" xfId="0" applyFill="1" applyBorder="1" applyAlignment="1">
      <alignment horizontal="center" vertical="center" wrapText="1"/>
    </xf>
    <xf numFmtId="43" fontId="2" fillId="2" borderId="4" xfId="1" applyFont="1" applyFill="1" applyBorder="1" applyAlignment="1">
      <alignment horizontal="center" vertical="center" wrapText="1"/>
    </xf>
    <xf numFmtId="0" fontId="0" fillId="2" borderId="4" xfId="0" applyFill="1" applyBorder="1" applyAlignment="1">
      <alignment horizontal="center" vertical="center" wrapText="1"/>
    </xf>
    <xf numFmtId="0" fontId="0" fillId="9" borderId="4" xfId="0" applyFill="1" applyBorder="1" applyAlignment="1">
      <alignment horizontal="center" vertical="center"/>
    </xf>
    <xf numFmtId="0" fontId="0" fillId="9" borderId="4" xfId="0" applyFill="1" applyBorder="1" applyAlignment="1">
      <alignment horizontal="center" vertical="center" wrapText="1"/>
    </xf>
    <xf numFmtId="167" fontId="0" fillId="9" borderId="4" xfId="0" applyNumberFormat="1" applyFill="1" applyBorder="1" applyAlignment="1">
      <alignment horizontal="center" vertical="center"/>
    </xf>
    <xf numFmtId="14" fontId="0" fillId="9" borderId="4" xfId="0" applyNumberFormat="1" applyFill="1" applyBorder="1" applyAlignment="1">
      <alignment horizontal="center" vertical="center"/>
    </xf>
    <xf numFmtId="2" fontId="0" fillId="9" borderId="4" xfId="0" applyNumberFormat="1" applyFill="1" applyBorder="1" applyAlignment="1">
      <alignment horizontal="center" vertical="center"/>
    </xf>
    <xf numFmtId="0" fontId="0" fillId="9" borderId="0" xfId="0" applyFill="1"/>
    <xf numFmtId="0" fontId="0" fillId="30" borderId="4" xfId="0" applyFill="1" applyBorder="1" applyAlignment="1">
      <alignment horizontal="center" vertical="center"/>
    </xf>
    <xf numFmtId="167" fontId="0" fillId="30" borderId="4" xfId="0" applyNumberFormat="1" applyFill="1" applyBorder="1" applyAlignment="1">
      <alignment horizontal="center" vertical="center"/>
    </xf>
    <xf numFmtId="14" fontId="0" fillId="30" borderId="4" xfId="0" applyNumberFormat="1" applyFill="1" applyBorder="1" applyAlignment="1">
      <alignment horizontal="center" vertical="center"/>
    </xf>
    <xf numFmtId="2" fontId="0" fillId="30" borderId="4" xfId="0" applyNumberFormat="1" applyFill="1" applyBorder="1" applyAlignment="1">
      <alignment horizontal="center" vertical="center"/>
    </xf>
    <xf numFmtId="167" fontId="0" fillId="8" borderId="4" xfId="0" applyNumberFormat="1" applyFill="1" applyBorder="1" applyAlignment="1">
      <alignment horizontal="center" vertical="center"/>
    </xf>
    <xf numFmtId="167" fontId="0" fillId="12" borderId="4" xfId="0" applyNumberFormat="1" applyFill="1" applyBorder="1" applyAlignment="1">
      <alignment horizontal="center" vertical="center"/>
    </xf>
    <xf numFmtId="167" fontId="0" fillId="12" borderId="4" xfId="0" applyNumberFormat="1" applyFill="1" applyBorder="1" applyAlignment="1">
      <alignment horizontal="center" vertical="center" wrapText="1"/>
    </xf>
    <xf numFmtId="0" fontId="0" fillId="12" borderId="4" xfId="0" applyFill="1" applyBorder="1" applyAlignment="1">
      <alignment horizontal="center"/>
    </xf>
    <xf numFmtId="167" fontId="0" fillId="12" borderId="4" xfId="0" applyNumberFormat="1" applyFill="1" applyBorder="1"/>
    <xf numFmtId="0" fontId="0" fillId="12" borderId="4" xfId="0" applyFill="1" applyBorder="1"/>
    <xf numFmtId="0" fontId="0" fillId="2" borderId="4" xfId="0" applyFill="1" applyBorder="1" applyAlignment="1">
      <alignment horizontal="center" vertical="center" wrapText="1"/>
    </xf>
    <xf numFmtId="0" fontId="0" fillId="8" borderId="4" xfId="0" applyFill="1" applyBorder="1" applyAlignment="1">
      <alignment horizontal="center" vertical="center"/>
    </xf>
    <xf numFmtId="0" fontId="0" fillId="8" borderId="4" xfId="0" applyFill="1" applyBorder="1" applyAlignment="1">
      <alignment horizontal="center" vertical="center" wrapText="1"/>
    </xf>
    <xf numFmtId="167" fontId="0" fillId="8" borderId="4" xfId="0" applyNumberFormat="1" applyFill="1" applyBorder="1" applyAlignment="1">
      <alignment horizontal="center" vertical="center" wrapText="1"/>
    </xf>
    <xf numFmtId="167" fontId="0" fillId="8" borderId="4" xfId="0" applyNumberFormat="1" applyFill="1" applyBorder="1"/>
    <xf numFmtId="167" fontId="0" fillId="0" borderId="4" xfId="0" applyNumberFormat="1" applyBorder="1" applyAlignment="1">
      <alignment horizontal="center" vertical="center" wrapText="1"/>
    </xf>
    <xf numFmtId="167" fontId="0" fillId="0" borderId="4" xfId="0" applyNumberFormat="1" applyBorder="1"/>
    <xf numFmtId="1" fontId="0" fillId="0" borderId="4" xfId="0" applyNumberFormat="1" applyBorder="1" applyAlignment="1">
      <alignment horizontal="center" vertical="center" wrapText="1"/>
    </xf>
    <xf numFmtId="167" fontId="0" fillId="8" borderId="4" xfId="0" applyNumberFormat="1" applyFill="1" applyBorder="1" applyAlignment="1">
      <alignment horizontal="center" vertical="center"/>
    </xf>
    <xf numFmtId="1" fontId="0" fillId="8" borderId="4" xfId="0" applyNumberFormat="1" applyFill="1" applyBorder="1" applyAlignment="1">
      <alignment horizontal="center" vertical="center"/>
    </xf>
    <xf numFmtId="167" fontId="0" fillId="32" borderId="4" xfId="0" applyNumberFormat="1" applyFill="1" applyBorder="1" applyAlignment="1">
      <alignment horizontal="center" vertical="center" wrapText="1"/>
    </xf>
    <xf numFmtId="167" fontId="0" fillId="32" borderId="4" xfId="0" applyNumberFormat="1" applyFill="1" applyBorder="1" applyAlignment="1">
      <alignment horizontal="center" vertical="center"/>
    </xf>
    <xf numFmtId="1" fontId="0" fillId="32" borderId="4" xfId="0" applyNumberFormat="1" applyFill="1" applyBorder="1" applyAlignment="1">
      <alignment horizontal="center" vertical="center"/>
    </xf>
    <xf numFmtId="167" fontId="0" fillId="0" borderId="4" xfId="0" applyNumberFormat="1" applyBorder="1" applyAlignment="1">
      <alignment horizontal="center" vertical="center"/>
    </xf>
    <xf numFmtId="0" fontId="0" fillId="0" borderId="11" xfId="0" applyBorder="1"/>
    <xf numFmtId="1" fontId="0" fillId="0" borderId="4" xfId="0" applyNumberFormat="1" applyBorder="1"/>
    <xf numFmtId="167" fontId="0" fillId="0" borderId="4" xfId="0" applyNumberFormat="1" applyBorder="1" applyAlignment="1">
      <alignment vertical="center"/>
    </xf>
    <xf numFmtId="167" fontId="0" fillId="0" borderId="4" xfId="0" applyNumberFormat="1" applyFill="1" applyBorder="1" applyAlignment="1">
      <alignment vertical="center"/>
    </xf>
    <xf numFmtId="167" fontId="0" fillId="0" borderId="11" xfId="0" applyNumberFormat="1" applyFill="1" applyBorder="1" applyAlignment="1">
      <alignment vertical="center"/>
    </xf>
    <xf numFmtId="167" fontId="0" fillId="0" borderId="4" xfId="1" applyNumberFormat="1" applyFont="1" applyFill="1" applyBorder="1" applyAlignment="1">
      <alignment vertical="center"/>
    </xf>
    <xf numFmtId="1" fontId="0" fillId="0" borderId="8" xfId="1" applyNumberFormat="1" applyFont="1" applyFill="1" applyBorder="1" applyAlignment="1">
      <alignment vertical="center"/>
    </xf>
    <xf numFmtId="1" fontId="0" fillId="0" borderId="4" xfId="0" applyNumberFormat="1" applyFill="1" applyBorder="1" applyAlignment="1">
      <alignment vertical="center"/>
    </xf>
    <xf numFmtId="167" fontId="6" fillId="0" borderId="4" xfId="2" applyNumberFormat="1" applyFont="1" applyFill="1" applyBorder="1" applyAlignment="1">
      <alignment vertical="center"/>
    </xf>
    <xf numFmtId="167" fontId="6" fillId="0" borderId="4" xfId="1" applyNumberFormat="1" applyFont="1" applyFill="1" applyBorder="1" applyAlignment="1">
      <alignment vertical="center"/>
    </xf>
    <xf numFmtId="2" fontId="0" fillId="0" borderId="4" xfId="0" applyNumberFormat="1" applyBorder="1" applyAlignment="1">
      <alignment vertical="center"/>
    </xf>
    <xf numFmtId="1" fontId="0" fillId="0" borderId="4" xfId="0" applyNumberFormat="1" applyBorder="1" applyAlignment="1">
      <alignment vertical="center"/>
    </xf>
    <xf numFmtId="0" fontId="0" fillId="0" borderId="4" xfId="0" applyBorder="1" applyAlignment="1">
      <alignment wrapText="1"/>
    </xf>
    <xf numFmtId="0" fontId="8" fillId="0" borderId="4" xfId="0" applyFont="1" applyBorder="1" applyAlignment="1">
      <alignment horizontal="center" vertical="center" wrapText="1"/>
    </xf>
    <xf numFmtId="0" fontId="8" fillId="0" borderId="4" xfId="0" applyFont="1" applyBorder="1" applyAlignment="1">
      <alignment horizontal="justify"/>
    </xf>
    <xf numFmtId="0" fontId="8" fillId="0" borderId="4" xfId="0" applyFont="1" applyBorder="1" applyAlignment="1">
      <alignment wrapText="1"/>
    </xf>
    <xf numFmtId="0" fontId="0" fillId="4" borderId="4" xfId="0" applyFill="1" applyBorder="1" applyAlignment="1">
      <alignment horizontal="center" vertical="center" wrapText="1"/>
    </xf>
    <xf numFmtId="44" fontId="0" fillId="4" borderId="4" xfId="0" applyNumberFormat="1" applyFill="1" applyBorder="1" applyAlignment="1">
      <alignment horizontal="center" vertical="center" wrapText="1"/>
    </xf>
    <xf numFmtId="0" fontId="0" fillId="34" borderId="4" xfId="0" applyFill="1" applyBorder="1" applyAlignment="1">
      <alignment horizontal="center" vertical="center" wrapText="1"/>
    </xf>
    <xf numFmtId="0" fontId="0" fillId="8" borderId="4" xfId="0" applyFill="1" applyBorder="1" applyAlignment="1">
      <alignment horizontal="center" vertical="center"/>
    </xf>
    <xf numFmtId="0" fontId="0" fillId="8" borderId="4" xfId="0" applyFill="1" applyBorder="1" applyAlignment="1">
      <alignment horizontal="center" vertical="center" wrapText="1"/>
    </xf>
    <xf numFmtId="167" fontId="0" fillId="0" borderId="0" xfId="0" applyNumberFormat="1"/>
    <xf numFmtId="1" fontId="0" fillId="0" borderId="4" xfId="0" applyNumberFormat="1" applyBorder="1" applyAlignment="1">
      <alignment horizontal="center" vertical="center"/>
    </xf>
    <xf numFmtId="1" fontId="0" fillId="0" borderId="4" xfId="0" applyNumberFormat="1" applyFont="1" applyBorder="1" applyAlignment="1">
      <alignment horizontal="center" vertical="center" wrapText="1"/>
    </xf>
    <xf numFmtId="2" fontId="0" fillId="0" borderId="4" xfId="0" applyNumberFormat="1" applyFont="1" applyBorder="1" applyAlignment="1">
      <alignment horizontal="center" vertical="center" wrapText="1"/>
    </xf>
    <xf numFmtId="44" fontId="0" fillId="0" borderId="4" xfId="0" applyNumberFormat="1" applyFont="1" applyBorder="1" applyAlignment="1">
      <alignment horizontal="center" vertical="center" wrapText="1"/>
    </xf>
    <xf numFmtId="166" fontId="0" fillId="0" borderId="4" xfId="0" applyNumberFormat="1" applyFont="1" applyBorder="1" applyAlignment="1">
      <alignment horizontal="center" vertical="center" wrapText="1"/>
    </xf>
    <xf numFmtId="0" fontId="0" fillId="8" borderId="4" xfId="0" applyFill="1" applyBorder="1" applyAlignment="1">
      <alignment horizontal="center" vertical="center" wrapText="1"/>
    </xf>
    <xf numFmtId="44" fontId="0" fillId="0" borderId="4" xfId="0" applyNumberFormat="1" applyFont="1" applyFill="1" applyBorder="1" applyAlignment="1">
      <alignment horizontal="center" vertical="center" wrapText="1"/>
    </xf>
    <xf numFmtId="169" fontId="0" fillId="38" borderId="4" xfId="0" applyNumberFormat="1" applyFill="1" applyBorder="1"/>
    <xf numFmtId="44" fontId="0" fillId="12" borderId="4" xfId="0" applyNumberFormat="1" applyFill="1" applyBorder="1" applyAlignment="1">
      <alignment horizontal="center" vertical="center" wrapText="1"/>
    </xf>
    <xf numFmtId="2" fontId="0" fillId="12" borderId="4" xfId="0" applyNumberFormat="1" applyFill="1" applyBorder="1" applyAlignment="1">
      <alignment horizontal="center" vertical="center" wrapText="1"/>
    </xf>
    <xf numFmtId="2" fontId="0" fillId="4" borderId="4" xfId="0" applyNumberFormat="1" applyFill="1" applyBorder="1" applyAlignment="1">
      <alignment horizontal="center" vertical="center" wrapText="1"/>
    </xf>
    <xf numFmtId="44" fontId="0" fillId="33" borderId="4" xfId="0" applyNumberFormat="1" applyFill="1" applyBorder="1" applyAlignment="1">
      <alignment horizontal="center" vertical="center" wrapText="1"/>
    </xf>
    <xf numFmtId="14" fontId="0" fillId="33" borderId="4" xfId="0" applyNumberFormat="1" applyFill="1" applyBorder="1" applyAlignment="1">
      <alignment horizontal="center" vertical="center" wrapText="1"/>
    </xf>
    <xf numFmtId="2" fontId="0" fillId="33" borderId="4" xfId="0" applyNumberFormat="1" applyFill="1" applyBorder="1" applyAlignment="1">
      <alignment horizontal="center" vertical="center" wrapText="1"/>
    </xf>
    <xf numFmtId="44" fontId="0" fillId="34" borderId="4" xfId="0" applyNumberFormat="1" applyFill="1" applyBorder="1" applyAlignment="1">
      <alignment horizontal="center" vertical="center" wrapText="1"/>
    </xf>
    <xf numFmtId="2" fontId="0" fillId="34" borderId="4" xfId="0" applyNumberFormat="1" applyFill="1" applyBorder="1" applyAlignment="1">
      <alignment horizontal="center" vertical="center" wrapText="1"/>
    </xf>
    <xf numFmtId="44" fontId="0" fillId="8" borderId="12" xfId="0" applyNumberFormat="1" applyFill="1" applyBorder="1" applyAlignment="1">
      <alignment horizontal="center" vertical="center"/>
    </xf>
    <xf numFmtId="0" fontId="0" fillId="8" borderId="12" xfId="0" applyFill="1" applyBorder="1" applyAlignment="1">
      <alignment horizontal="center" vertical="center" wrapText="1"/>
    </xf>
    <xf numFmtId="0" fontId="0" fillId="40" borderId="4" xfId="0" applyFill="1" applyBorder="1" applyAlignment="1">
      <alignment horizontal="center" vertical="center" wrapText="1"/>
    </xf>
    <xf numFmtId="0" fontId="0" fillId="40" borderId="12" xfId="0" applyFill="1" applyBorder="1" applyAlignment="1">
      <alignment horizontal="center" vertical="center"/>
    </xf>
    <xf numFmtId="44" fontId="0" fillId="40" borderId="12" xfId="0" applyNumberFormat="1" applyFill="1" applyBorder="1" applyAlignment="1">
      <alignment horizontal="center" vertical="center"/>
    </xf>
    <xf numFmtId="0" fontId="0" fillId="40" borderId="12" xfId="0" applyFill="1" applyBorder="1" applyAlignment="1">
      <alignment horizontal="center" vertical="center" wrapText="1"/>
    </xf>
    <xf numFmtId="44" fontId="0" fillId="40" borderId="4" xfId="0" applyNumberFormat="1" applyFill="1" applyBorder="1" applyAlignment="1">
      <alignment horizontal="center" vertical="center"/>
    </xf>
    <xf numFmtId="14" fontId="0" fillId="40" borderId="4" xfId="0" applyNumberFormat="1" applyFill="1" applyBorder="1" applyAlignment="1">
      <alignment horizontal="center" vertical="center"/>
    </xf>
    <xf numFmtId="44" fontId="0" fillId="40" borderId="4" xfId="0" applyNumberFormat="1" applyFill="1" applyBorder="1" applyAlignment="1">
      <alignment horizontal="center" vertical="center" wrapText="1"/>
    </xf>
    <xf numFmtId="2" fontId="0" fillId="40" borderId="4" xfId="0" applyNumberFormat="1" applyFill="1" applyBorder="1" applyAlignment="1">
      <alignment horizontal="center" vertical="center" wrapText="1"/>
    </xf>
    <xf numFmtId="0" fontId="0" fillId="30" borderId="12" xfId="0" applyFill="1" applyBorder="1" applyAlignment="1">
      <alignment horizontal="center" vertical="center"/>
    </xf>
    <xf numFmtId="44" fontId="0" fillId="30" borderId="12" xfId="0" applyNumberFormat="1" applyFill="1" applyBorder="1" applyAlignment="1">
      <alignment horizontal="center" vertical="center"/>
    </xf>
    <xf numFmtId="0" fontId="0" fillId="30" borderId="12" xfId="0" applyFill="1" applyBorder="1" applyAlignment="1">
      <alignment horizontal="center" vertical="center" wrapText="1"/>
    </xf>
    <xf numFmtId="44" fontId="0" fillId="30" borderId="4" xfId="0" applyNumberFormat="1" applyFill="1" applyBorder="1" applyAlignment="1">
      <alignment horizontal="center" vertical="center"/>
    </xf>
    <xf numFmtId="44" fontId="0" fillId="30" borderId="4" xfId="0" applyNumberFormat="1" applyFill="1" applyBorder="1" applyAlignment="1">
      <alignment horizontal="center" vertical="center" wrapText="1"/>
    </xf>
    <xf numFmtId="2" fontId="0" fillId="30" borderId="4" xfId="0" applyNumberFormat="1" applyFill="1" applyBorder="1" applyAlignment="1">
      <alignment horizontal="center" vertical="center" wrapText="1"/>
    </xf>
    <xf numFmtId="44" fontId="0" fillId="4" borderId="4" xfId="0" applyNumberFormat="1" applyFill="1" applyBorder="1" applyAlignment="1">
      <alignment horizontal="center" vertical="center"/>
    </xf>
    <xf numFmtId="0" fontId="0" fillId="41" borderId="4" xfId="0" applyFill="1" applyBorder="1" applyAlignment="1">
      <alignment horizontal="center" vertical="center" wrapText="1"/>
    </xf>
    <xf numFmtId="0" fontId="0" fillId="41" borderId="4" xfId="0" applyFill="1" applyBorder="1" applyAlignment="1">
      <alignment horizontal="center" vertical="center"/>
    </xf>
    <xf numFmtId="44" fontId="0" fillId="41" borderId="4" xfId="0" applyNumberFormat="1" applyFill="1" applyBorder="1" applyAlignment="1">
      <alignment horizontal="center" vertical="center"/>
    </xf>
    <xf numFmtId="44" fontId="0" fillId="41" borderId="4" xfId="0" applyNumberFormat="1" applyFill="1" applyBorder="1" applyAlignment="1">
      <alignment horizontal="center" vertical="center" wrapText="1"/>
    </xf>
    <xf numFmtId="2" fontId="0" fillId="41" borderId="4" xfId="0" applyNumberFormat="1" applyFill="1" applyBorder="1" applyAlignment="1">
      <alignment horizontal="center" vertical="center" wrapText="1"/>
    </xf>
    <xf numFmtId="44" fontId="0" fillId="38" borderId="4" xfId="0" applyNumberFormat="1" applyFill="1" applyBorder="1" applyAlignment="1">
      <alignment horizontal="center" vertical="center" wrapText="1"/>
    </xf>
    <xf numFmtId="2" fontId="0" fillId="38" borderId="4" xfId="0" applyNumberFormat="1" applyFill="1" applyBorder="1" applyAlignment="1">
      <alignment horizontal="center" vertical="center" wrapText="1"/>
    </xf>
    <xf numFmtId="167" fontId="0" fillId="4" borderId="4" xfId="0" applyNumberFormat="1" applyFill="1" applyBorder="1" applyAlignment="1">
      <alignment horizontal="center" vertical="center"/>
    </xf>
    <xf numFmtId="0" fontId="0" fillId="4" borderId="4" xfId="0" applyFill="1" applyBorder="1"/>
    <xf numFmtId="2" fontId="0" fillId="8" borderId="4" xfId="0" applyNumberFormat="1" applyFill="1" applyBorder="1"/>
    <xf numFmtId="44" fontId="0" fillId="0" borderId="4" xfId="0" applyNumberFormat="1" applyFill="1" applyBorder="1" applyAlignment="1">
      <alignment horizontal="center" vertical="center"/>
    </xf>
    <xf numFmtId="44" fontId="0" fillId="0" borderId="4" xfId="1" applyNumberFormat="1" applyFont="1" applyFill="1" applyBorder="1" applyAlignment="1">
      <alignment horizontal="center" vertical="center"/>
    </xf>
    <xf numFmtId="44" fontId="6" fillId="0" borderId="4" xfId="1" applyNumberFormat="1" applyFont="1" applyFill="1" applyBorder="1" applyAlignment="1">
      <alignment horizontal="center" vertical="center"/>
    </xf>
    <xf numFmtId="2" fontId="0" fillId="31" borderId="4" xfId="0" applyNumberFormat="1" applyFill="1" applyBorder="1" applyAlignment="1">
      <alignment horizontal="center" vertical="center" wrapText="1"/>
    </xf>
    <xf numFmtId="166" fontId="0" fillId="31" borderId="4" xfId="0" applyNumberFormat="1" applyFill="1" applyBorder="1" applyAlignment="1">
      <alignment horizontal="center" vertical="center" wrapText="1"/>
    </xf>
    <xf numFmtId="0" fontId="0" fillId="6" borderId="0" xfId="0" applyFill="1"/>
    <xf numFmtId="0" fontId="0" fillId="4" borderId="11" xfId="0" applyFill="1" applyBorder="1"/>
    <xf numFmtId="2" fontId="0" fillId="4" borderId="4" xfId="1" applyNumberFormat="1" applyFont="1" applyFill="1" applyBorder="1" applyAlignment="1">
      <alignment horizontal="center" vertical="center"/>
    </xf>
    <xf numFmtId="166" fontId="0" fillId="0" borderId="0" xfId="0" applyNumberFormat="1"/>
    <xf numFmtId="166" fontId="0" fillId="0" borderId="11" xfId="0" applyNumberFormat="1" applyFill="1" applyBorder="1" applyAlignment="1">
      <alignment vertical="center"/>
    </xf>
    <xf numFmtId="0" fontId="0" fillId="0" borderId="7" xfId="0" applyFont="1" applyBorder="1" applyAlignment="1">
      <alignment horizontal="center" vertical="center" wrapText="1"/>
    </xf>
    <xf numFmtId="0" fontId="8" fillId="0" borderId="7" xfId="0" applyFont="1" applyBorder="1" applyAlignment="1">
      <alignment horizontal="center" vertical="center" wrapText="1"/>
    </xf>
    <xf numFmtId="1" fontId="0" fillId="0" borderId="4" xfId="0" applyNumberFormat="1" applyFont="1" applyFill="1" applyBorder="1" applyAlignment="1">
      <alignment horizontal="center" vertical="center" wrapText="1"/>
    </xf>
    <xf numFmtId="0" fontId="0" fillId="42" borderId="4" xfId="0" applyFill="1" applyBorder="1" applyAlignment="1">
      <alignment horizontal="center" vertical="center" wrapText="1"/>
    </xf>
    <xf numFmtId="0" fontId="0" fillId="0" borderId="5" xfId="0" applyBorder="1" applyAlignment="1">
      <alignment horizontal="center" vertical="center" wrapText="1"/>
    </xf>
    <xf numFmtId="0" fontId="0" fillId="0" borderId="7" xfId="0" applyFill="1" applyBorder="1"/>
    <xf numFmtId="0" fontId="0" fillId="0" borderId="7" xfId="0" applyFill="1" applyBorder="1" applyAlignment="1">
      <alignment horizontal="center" wrapText="1"/>
    </xf>
    <xf numFmtId="167" fontId="9" fillId="0" borderId="4" xfId="0" applyNumberFormat="1" applyFont="1" applyFill="1" applyBorder="1" applyAlignment="1">
      <alignment vertical="center"/>
    </xf>
    <xf numFmtId="0" fontId="0" fillId="0" borderId="7" xfId="0" applyBorder="1" applyAlignment="1">
      <alignment wrapText="1"/>
    </xf>
    <xf numFmtId="166" fontId="0" fillId="0" borderId="4" xfId="0" applyNumberFormat="1" applyFill="1" applyBorder="1" applyAlignment="1">
      <alignment horizontal="center" vertical="center" wrapText="1"/>
    </xf>
    <xf numFmtId="166" fontId="0" fillId="0" borderId="4" xfId="0" applyNumberFormat="1" applyBorder="1" applyAlignment="1">
      <alignment horizontal="center" vertical="center" wrapText="1"/>
    </xf>
    <xf numFmtId="0" fontId="0" fillId="37" borderId="4" xfId="0" applyFill="1" applyBorder="1" applyAlignment="1">
      <alignment horizontal="center" vertical="center"/>
    </xf>
    <xf numFmtId="0" fontId="8" fillId="37" borderId="4" xfId="0" applyFont="1" applyFill="1" applyBorder="1" applyAlignment="1">
      <alignment horizontal="justify" vertical="center"/>
    </xf>
    <xf numFmtId="167" fontId="0" fillId="37" borderId="4" xfId="0" applyNumberFormat="1" applyFill="1" applyBorder="1" applyAlignment="1">
      <alignment vertical="center"/>
    </xf>
    <xf numFmtId="167" fontId="6" fillId="37" borderId="4" xfId="0" applyNumberFormat="1" applyFont="1" applyFill="1" applyBorder="1" applyAlignment="1">
      <alignment vertical="center"/>
    </xf>
    <xf numFmtId="2" fontId="0" fillId="37" borderId="4" xfId="1" applyNumberFormat="1" applyFont="1" applyFill="1" applyBorder="1" applyAlignment="1">
      <alignment horizontal="center" vertical="center"/>
    </xf>
    <xf numFmtId="44" fontId="0" fillId="37" borderId="4" xfId="0" applyNumberFormat="1" applyFill="1" applyBorder="1" applyAlignment="1">
      <alignment horizontal="center" vertical="center" wrapText="1"/>
    </xf>
    <xf numFmtId="44" fontId="0" fillId="37" borderId="4" xfId="0" applyNumberFormat="1" applyFont="1" applyFill="1" applyBorder="1" applyAlignment="1">
      <alignment horizontal="center" vertical="center" wrapText="1"/>
    </xf>
    <xf numFmtId="44" fontId="0" fillId="37" borderId="4" xfId="0" applyNumberFormat="1" applyFill="1" applyBorder="1" applyAlignment="1">
      <alignment horizontal="center" vertical="center"/>
    </xf>
    <xf numFmtId="167" fontId="0" fillId="37" borderId="4" xfId="0" applyNumberFormat="1" applyFill="1" applyBorder="1" applyAlignment="1">
      <alignment horizontal="center" vertical="center"/>
    </xf>
    <xf numFmtId="44" fontId="0" fillId="0" borderId="21" xfId="0" applyNumberFormat="1" applyFill="1" applyBorder="1" applyAlignment="1">
      <alignment horizontal="center" vertical="center"/>
    </xf>
    <xf numFmtId="0" fontId="0" fillId="0" borderId="21" xfId="0" applyFill="1" applyBorder="1"/>
    <xf numFmtId="0" fontId="0" fillId="0" borderId="19" xfId="0" applyFill="1" applyBorder="1"/>
    <xf numFmtId="0" fontId="0" fillId="0" borderId="21" xfId="0" applyBorder="1"/>
    <xf numFmtId="0" fontId="0" fillId="0" borderId="21" xfId="0" applyBorder="1" applyAlignment="1">
      <alignment horizontal="center" wrapText="1"/>
    </xf>
    <xf numFmtId="167" fontId="0" fillId="37" borderId="4" xfId="0" applyNumberFormat="1" applyFill="1" applyBorder="1"/>
    <xf numFmtId="44" fontId="0" fillId="0" borderId="5" xfId="1" applyNumberFormat="1" applyFont="1" applyFill="1" applyBorder="1" applyAlignment="1">
      <alignment horizontal="center" vertical="center"/>
    </xf>
    <xf numFmtId="0" fontId="0" fillId="0" borderId="5" xfId="0" applyFill="1" applyBorder="1" applyAlignment="1">
      <alignment horizontal="center" vertical="center" wrapText="1"/>
    </xf>
    <xf numFmtId="167" fontId="0" fillId="0" borderId="0" xfId="0" applyNumberFormat="1" applyFill="1"/>
    <xf numFmtId="166" fontId="0" fillId="42" borderId="4" xfId="0" applyNumberFormat="1" applyFill="1" applyBorder="1" applyAlignment="1">
      <alignment horizontal="center" vertical="center" wrapText="1"/>
    </xf>
    <xf numFmtId="44" fontId="0" fillId="42" borderId="4" xfId="0" applyNumberFormat="1" applyFill="1" applyBorder="1" applyAlignment="1">
      <alignment horizontal="center" vertical="center" wrapText="1"/>
    </xf>
    <xf numFmtId="167" fontId="0" fillId="42" borderId="4" xfId="0" applyNumberFormat="1" applyFill="1" applyBorder="1" applyAlignment="1">
      <alignment horizontal="center" vertical="center" wrapText="1"/>
    </xf>
    <xf numFmtId="1" fontId="0" fillId="6" borderId="11" xfId="0" applyNumberFormat="1" applyFill="1" applyBorder="1" applyAlignment="1">
      <alignment horizontal="center" vertical="center"/>
    </xf>
    <xf numFmtId="1" fontId="0" fillId="6" borderId="4" xfId="1" applyNumberFormat="1" applyFont="1" applyFill="1" applyBorder="1" applyAlignment="1">
      <alignment horizontal="center" vertical="center"/>
    </xf>
    <xf numFmtId="1" fontId="6" fillId="6" borderId="4" xfId="1" applyNumberFormat="1" applyFont="1" applyFill="1" applyBorder="1" applyAlignment="1">
      <alignment horizontal="center" vertical="center"/>
    </xf>
    <xf numFmtId="1" fontId="0" fillId="6" borderId="4" xfId="0" applyNumberFormat="1" applyFill="1" applyBorder="1" applyAlignment="1">
      <alignment horizontal="center" vertical="center"/>
    </xf>
    <xf numFmtId="1" fontId="6" fillId="37" borderId="4" xfId="0" applyNumberFormat="1" applyFont="1" applyFill="1" applyBorder="1" applyAlignment="1">
      <alignment horizontal="center" vertical="center"/>
    </xf>
    <xf numFmtId="1" fontId="0" fillId="37" borderId="11" xfId="0" applyNumberFormat="1" applyFill="1" applyBorder="1" applyAlignment="1">
      <alignment horizontal="center" vertical="center"/>
    </xf>
    <xf numFmtId="1" fontId="0" fillId="4" borderId="11" xfId="0" applyNumberFormat="1" applyFill="1" applyBorder="1" applyAlignment="1">
      <alignment horizontal="center" vertical="center"/>
    </xf>
    <xf numFmtId="1" fontId="6" fillId="4" borderId="4" xfId="1" applyNumberFormat="1" applyFont="1" applyFill="1" applyBorder="1" applyAlignment="1">
      <alignment horizontal="center" vertical="center"/>
    </xf>
    <xf numFmtId="1" fontId="0" fillId="4" borderId="4" xfId="1" applyNumberFormat="1" applyFont="1" applyFill="1" applyBorder="1" applyAlignment="1">
      <alignment horizontal="center" vertical="center"/>
    </xf>
    <xf numFmtId="1" fontId="0" fillId="4" borderId="4" xfId="0" applyNumberFormat="1" applyFill="1" applyBorder="1" applyAlignment="1">
      <alignment horizontal="center" vertical="center"/>
    </xf>
    <xf numFmtId="44" fontId="0" fillId="0" borderId="0" xfId="0" applyNumberFormat="1" applyBorder="1"/>
    <xf numFmtId="44" fontId="0" fillId="0" borderId="4" xfId="0" applyNumberFormat="1" applyFill="1" applyBorder="1"/>
    <xf numFmtId="1" fontId="0" fillId="6" borderId="0" xfId="0" applyNumberFormat="1" applyFill="1" applyBorder="1" applyAlignment="1">
      <alignment horizontal="right"/>
    </xf>
    <xf numFmtId="1" fontId="0" fillId="6" borderId="11" xfId="0" applyNumberFormat="1" applyFill="1" applyBorder="1" applyAlignment="1">
      <alignment horizontal="right" vertical="center"/>
    </xf>
    <xf numFmtId="1" fontId="0" fillId="6" borderId="4" xfId="0" applyNumberFormat="1" applyFill="1" applyBorder="1" applyAlignment="1">
      <alignment horizontal="right"/>
    </xf>
    <xf numFmtId="1" fontId="0" fillId="6" borderId="4" xfId="0" applyNumberFormat="1" applyFill="1" applyBorder="1" applyAlignment="1">
      <alignment horizontal="right" vertical="center"/>
    </xf>
    <xf numFmtId="1" fontId="0" fillId="6" borderId="4" xfId="0" applyNumberFormat="1" applyFont="1" applyFill="1" applyBorder="1" applyAlignment="1">
      <alignment horizontal="right" vertical="center" wrapText="1"/>
    </xf>
    <xf numFmtId="1" fontId="0" fillId="13" borderId="4" xfId="0" applyNumberFormat="1" applyFont="1" applyFill="1" applyBorder="1" applyAlignment="1">
      <alignment horizontal="right" vertical="center" wrapText="1"/>
    </xf>
    <xf numFmtId="1" fontId="0" fillId="13" borderId="11" xfId="0" applyNumberFormat="1" applyFill="1" applyBorder="1" applyAlignment="1">
      <alignment horizontal="right" vertical="center"/>
    </xf>
    <xf numFmtId="1" fontId="0" fillId="6" borderId="7" xfId="0" applyNumberFormat="1" applyFont="1" applyFill="1" applyBorder="1" applyAlignment="1">
      <alignment horizontal="right" vertical="center" wrapText="1"/>
    </xf>
    <xf numFmtId="1" fontId="0" fillId="6" borderId="9" xfId="0" applyNumberFormat="1" applyFill="1" applyBorder="1" applyAlignment="1">
      <alignment horizontal="right" vertical="center"/>
    </xf>
    <xf numFmtId="1" fontId="0" fillId="37" borderId="4" xfId="0" applyNumberFormat="1" applyFont="1" applyFill="1" applyBorder="1" applyAlignment="1">
      <alignment horizontal="right" vertical="center" wrapText="1"/>
    </xf>
    <xf numFmtId="1" fontId="0" fillId="37" borderId="9" xfId="0" applyNumberFormat="1" applyFill="1" applyBorder="1" applyAlignment="1">
      <alignment horizontal="right" vertical="center"/>
    </xf>
    <xf numFmtId="1" fontId="0" fillId="37" borderId="4" xfId="0" applyNumberFormat="1" applyFill="1" applyBorder="1" applyAlignment="1">
      <alignment horizontal="right" vertical="center"/>
    </xf>
    <xf numFmtId="1" fontId="0" fillId="6" borderId="7" xfId="0" applyNumberFormat="1" applyFill="1" applyBorder="1" applyAlignment="1">
      <alignment horizontal="right"/>
    </xf>
    <xf numFmtId="1" fontId="0" fillId="6" borderId="7" xfId="0" applyNumberFormat="1" applyFill="1" applyBorder="1" applyAlignment="1">
      <alignment horizontal="right" vertical="center"/>
    </xf>
    <xf numFmtId="1" fontId="0" fillId="6" borderId="4" xfId="0" applyNumberFormat="1" applyFill="1" applyBorder="1" applyAlignment="1">
      <alignment horizontal="right" vertical="center" wrapText="1"/>
    </xf>
    <xf numFmtId="1" fontId="0" fillId="42" borderId="4" xfId="0" applyNumberFormat="1" applyFill="1" applyBorder="1" applyAlignment="1">
      <alignment horizontal="center" vertical="center" wrapText="1"/>
    </xf>
    <xf numFmtId="1" fontId="0" fillId="0" borderId="4" xfId="0" applyNumberFormat="1" applyFill="1" applyBorder="1" applyAlignment="1">
      <alignment horizontal="center" vertical="center" wrapText="1"/>
    </xf>
    <xf numFmtId="43" fontId="0" fillId="37" borderId="4" xfId="1" applyFont="1" applyFill="1" applyBorder="1" applyAlignment="1">
      <alignment horizontal="center" vertical="center" wrapText="1"/>
    </xf>
    <xf numFmtId="1" fontId="0" fillId="37" borderId="11" xfId="0" applyNumberFormat="1" applyFill="1" applyBorder="1" applyAlignment="1">
      <alignment horizontal="right" vertical="center"/>
    </xf>
    <xf numFmtId="0" fontId="0" fillId="37" borderId="4" xfId="0" applyFill="1" applyBorder="1" applyAlignment="1">
      <alignment horizontal="center" wrapText="1"/>
    </xf>
    <xf numFmtId="1" fontId="0" fillId="37" borderId="4" xfId="0" applyNumberFormat="1" applyFill="1" applyBorder="1" applyAlignment="1">
      <alignment horizontal="right"/>
    </xf>
    <xf numFmtId="0" fontId="6" fillId="37" borderId="4" xfId="0" applyFont="1" applyFill="1" applyBorder="1" applyAlignment="1">
      <alignment horizontal="center" vertical="center" wrapText="1"/>
    </xf>
    <xf numFmtId="166" fontId="0" fillId="37" borderId="4" xfId="0" applyNumberFormat="1" applyFill="1" applyBorder="1" applyAlignment="1">
      <alignment horizontal="center" vertical="center" wrapText="1"/>
    </xf>
    <xf numFmtId="1" fontId="0" fillId="37" borderId="4" xfId="0" applyNumberFormat="1" applyFill="1" applyBorder="1" applyAlignment="1">
      <alignment horizontal="center" vertical="center"/>
    </xf>
    <xf numFmtId="1" fontId="0" fillId="4" borderId="4" xfId="0" applyNumberFormat="1" applyFont="1" applyFill="1" applyBorder="1" applyAlignment="1">
      <alignment horizontal="center" vertical="center" wrapText="1"/>
    </xf>
    <xf numFmtId="1" fontId="0" fillId="13" borderId="4" xfId="0" applyNumberFormat="1" applyFont="1" applyFill="1" applyBorder="1" applyAlignment="1">
      <alignment horizontal="center" vertical="center" wrapText="1"/>
    </xf>
    <xf numFmtId="1" fontId="0" fillId="4" borderId="7" xfId="0" applyNumberFormat="1" applyFont="1" applyFill="1" applyBorder="1" applyAlignment="1">
      <alignment horizontal="center" vertical="center" wrapText="1"/>
    </xf>
    <xf numFmtId="1" fontId="0" fillId="37" borderId="4" xfId="0" applyNumberFormat="1" applyFont="1" applyFill="1" applyBorder="1" applyAlignment="1">
      <alignment horizontal="center" vertical="center" wrapText="1"/>
    </xf>
    <xf numFmtId="1" fontId="0" fillId="37" borderId="7" xfId="0" applyNumberFormat="1" applyFill="1" applyBorder="1" applyAlignment="1">
      <alignment horizontal="center" vertical="center"/>
    </xf>
    <xf numFmtId="1" fontId="0" fillId="4" borderId="4" xfId="0" applyNumberFormat="1" applyFill="1" applyBorder="1" applyAlignment="1">
      <alignment horizontal="center" vertical="center" wrapText="1"/>
    </xf>
    <xf numFmtId="1" fontId="0" fillId="13" borderId="4" xfId="0" applyNumberFormat="1" applyFill="1" applyBorder="1" applyAlignment="1">
      <alignment horizontal="center" vertical="center"/>
    </xf>
    <xf numFmtId="1" fontId="0" fillId="4" borderId="7" xfId="0" applyNumberFormat="1" applyFill="1" applyBorder="1" applyAlignment="1">
      <alignment horizontal="center" vertical="center"/>
    </xf>
    <xf numFmtId="1" fontId="0" fillId="39" borderId="7" xfId="0" applyNumberFormat="1" applyFill="1" applyBorder="1" applyAlignment="1">
      <alignment horizontal="center" vertical="center"/>
    </xf>
    <xf numFmtId="1" fontId="1" fillId="0" borderId="0" xfId="0" applyNumberFormat="1" applyFont="1"/>
    <xf numFmtId="0" fontId="0" fillId="0" borderId="0" xfId="0" applyBorder="1" applyAlignment="1">
      <alignment horizontal="center"/>
    </xf>
    <xf numFmtId="0" fontId="0" fillId="30" borderId="11" xfId="0" applyFill="1" applyBorder="1"/>
    <xf numFmtId="1" fontId="0" fillId="30" borderId="11" xfId="0" applyNumberFormat="1" applyFill="1" applyBorder="1" applyAlignment="1">
      <alignment horizontal="center" vertical="center"/>
    </xf>
    <xf numFmtId="167" fontId="0" fillId="30" borderId="4" xfId="0" applyNumberFormat="1" applyFill="1" applyBorder="1" applyAlignment="1">
      <alignment vertical="center"/>
    </xf>
    <xf numFmtId="167" fontId="6" fillId="30" borderId="4" xfId="2" applyNumberFormat="1" applyFont="1" applyFill="1" applyBorder="1" applyAlignment="1">
      <alignment vertical="center"/>
    </xf>
    <xf numFmtId="167" fontId="6" fillId="30" borderId="4" xfId="0" applyNumberFormat="1" applyFont="1" applyFill="1" applyBorder="1" applyAlignment="1">
      <alignment vertical="center"/>
    </xf>
    <xf numFmtId="0" fontId="1" fillId="0" borderId="0" xfId="0" applyNumberFormat="1" applyFont="1"/>
    <xf numFmtId="0" fontId="0" fillId="4" borderId="4" xfId="0" applyFill="1" applyBorder="1" applyAlignment="1">
      <alignment horizontal="center" vertical="center" wrapText="1"/>
    </xf>
    <xf numFmtId="0" fontId="0" fillId="8" borderId="4" xfId="0" applyFill="1" applyBorder="1" applyAlignment="1">
      <alignment horizontal="center" vertical="center" wrapText="1"/>
    </xf>
    <xf numFmtId="167" fontId="0" fillId="10" borderId="4" xfId="0" applyNumberFormat="1" applyFill="1" applyBorder="1" applyAlignment="1">
      <alignment horizontal="center" vertical="center" wrapText="1"/>
    </xf>
    <xf numFmtId="1" fontId="0" fillId="10" borderId="4" xfId="0" applyNumberFormat="1" applyFill="1" applyBorder="1" applyAlignment="1">
      <alignment horizontal="center" vertical="center" wrapText="1"/>
    </xf>
    <xf numFmtId="0" fontId="0" fillId="10" borderId="4" xfId="0" applyFill="1" applyBorder="1"/>
    <xf numFmtId="167" fontId="0" fillId="10" borderId="4" xfId="0" applyNumberFormat="1" applyFill="1" applyBorder="1"/>
    <xf numFmtId="2" fontId="0" fillId="10" borderId="4" xfId="0" applyNumberFormat="1" applyFill="1" applyBorder="1"/>
    <xf numFmtId="0" fontId="0" fillId="0" borderId="4" xfId="0" applyBorder="1" applyAlignment="1">
      <alignment horizontal="left" vertical="center" wrapText="1"/>
    </xf>
    <xf numFmtId="0" fontId="8" fillId="0" borderId="4" xfId="0" applyFont="1" applyBorder="1" applyAlignment="1">
      <alignment horizontal="left" vertical="center" wrapText="1"/>
    </xf>
    <xf numFmtId="0" fontId="8" fillId="0" borderId="4" xfId="0" applyFont="1" applyBorder="1" applyAlignment="1">
      <alignment horizontal="left" wrapText="1"/>
    </xf>
    <xf numFmtId="0" fontId="0" fillId="37" borderId="4" xfId="0" applyFill="1" applyBorder="1" applyAlignment="1">
      <alignment horizontal="left" vertical="center" wrapText="1"/>
    </xf>
    <xf numFmtId="0" fontId="8" fillId="37" borderId="4" xfId="0" applyFont="1" applyFill="1" applyBorder="1" applyAlignment="1">
      <alignment horizontal="left" vertical="center" wrapText="1"/>
    </xf>
    <xf numFmtId="0" fontId="0" fillId="0" borderId="4" xfId="0" applyFill="1" applyBorder="1" applyAlignment="1">
      <alignment horizontal="left" vertical="center" wrapText="1"/>
    </xf>
    <xf numFmtId="0" fontId="0" fillId="43" borderId="4" xfId="0" applyFont="1" applyFill="1" applyBorder="1" applyAlignment="1">
      <alignment horizontal="center" vertical="center"/>
    </xf>
    <xf numFmtId="0" fontId="0" fillId="43" borderId="4" xfId="0" applyFill="1" applyBorder="1" applyAlignment="1">
      <alignment horizontal="center" vertical="center" wrapText="1"/>
    </xf>
    <xf numFmtId="0" fontId="6" fillId="43" borderId="4" xfId="0" applyFont="1" applyFill="1" applyBorder="1" applyAlignment="1">
      <alignment horizontal="center" vertical="center" wrapText="1"/>
    </xf>
    <xf numFmtId="167" fontId="0" fillId="43" borderId="4" xfId="0" applyNumberFormat="1" applyFont="1" applyFill="1" applyBorder="1" applyAlignment="1">
      <alignment horizontal="center" vertical="center"/>
    </xf>
    <xf numFmtId="44" fontId="0" fillId="43" borderId="4" xfId="0" applyNumberFormat="1" applyFill="1" applyBorder="1" applyAlignment="1">
      <alignment horizontal="center" vertical="center" wrapText="1"/>
    </xf>
    <xf numFmtId="14" fontId="0" fillId="43" borderId="4" xfId="0" applyNumberFormat="1" applyFill="1" applyBorder="1" applyAlignment="1">
      <alignment horizontal="center" vertical="center" wrapText="1"/>
    </xf>
    <xf numFmtId="167" fontId="0" fillId="43" borderId="4" xfId="0" applyNumberFormat="1" applyFill="1" applyBorder="1" applyAlignment="1">
      <alignment horizontal="center" vertical="center" wrapText="1"/>
    </xf>
    <xf numFmtId="0" fontId="0" fillId="42" borderId="4" xfId="0" applyFill="1" applyBorder="1" applyAlignment="1">
      <alignment horizontal="center" vertical="center"/>
    </xf>
    <xf numFmtId="167" fontId="0" fillId="42" borderId="4" xfId="0" applyNumberFormat="1" applyFill="1" applyBorder="1" applyAlignment="1">
      <alignment horizontal="center" vertical="center"/>
    </xf>
    <xf numFmtId="0" fontId="0" fillId="42" borderId="11" xfId="0" applyFill="1" applyBorder="1" applyAlignment="1">
      <alignment horizontal="center" vertical="center"/>
    </xf>
    <xf numFmtId="14" fontId="0" fillId="42" borderId="4" xfId="0" applyNumberFormat="1" applyFill="1" applyBorder="1" applyAlignment="1">
      <alignment horizontal="center" vertical="center" wrapText="1"/>
    </xf>
    <xf numFmtId="0" fontId="0" fillId="42" borderId="5" xfId="0" applyFill="1" applyBorder="1" applyAlignment="1">
      <alignment horizontal="center" vertical="center" wrapText="1"/>
    </xf>
    <xf numFmtId="0" fontId="0" fillId="42" borderId="5" xfId="0" applyFill="1" applyBorder="1" applyAlignment="1">
      <alignment horizontal="center" vertical="center"/>
    </xf>
    <xf numFmtId="167" fontId="0" fillId="42" borderId="5" xfId="0" applyNumberFormat="1" applyFill="1" applyBorder="1" applyAlignment="1">
      <alignment horizontal="center" vertical="center"/>
    </xf>
    <xf numFmtId="0" fontId="6" fillId="42" borderId="5" xfId="0" applyFont="1" applyFill="1" applyBorder="1" applyAlignment="1">
      <alignment horizontal="center" vertical="center" wrapText="1"/>
    </xf>
    <xf numFmtId="0" fontId="0" fillId="44" borderId="4" xfId="0" applyFill="1" applyBorder="1" applyAlignment="1">
      <alignment horizontal="center" vertical="center"/>
    </xf>
    <xf numFmtId="0" fontId="0" fillId="44" borderId="4" xfId="0" applyFill="1" applyBorder="1" applyAlignment="1">
      <alignment horizontal="center" vertical="center" wrapText="1"/>
    </xf>
    <xf numFmtId="167" fontId="0" fillId="44" borderId="4" xfId="0" applyNumberFormat="1" applyFill="1" applyBorder="1" applyAlignment="1">
      <alignment horizontal="center" vertical="center"/>
    </xf>
    <xf numFmtId="14" fontId="0" fillId="44" borderId="4" xfId="0" applyNumberFormat="1" applyFill="1" applyBorder="1" applyAlignment="1">
      <alignment horizontal="center" vertical="center"/>
    </xf>
    <xf numFmtId="44" fontId="0" fillId="44" borderId="4" xfId="0" applyNumberFormat="1" applyFill="1" applyBorder="1" applyAlignment="1">
      <alignment horizontal="center" vertical="center" wrapText="1"/>
    </xf>
    <xf numFmtId="0" fontId="0" fillId="44" borderId="4" xfId="0" applyFill="1" applyBorder="1"/>
    <xf numFmtId="167" fontId="0" fillId="44" borderId="4" xfId="0" applyNumberFormat="1" applyFill="1" applyBorder="1"/>
    <xf numFmtId="44" fontId="0" fillId="44" borderId="4" xfId="0" applyNumberFormat="1" applyFill="1" applyBorder="1"/>
    <xf numFmtId="0" fontId="0" fillId="37" borderId="4" xfId="0" applyFill="1" applyBorder="1" applyAlignment="1">
      <alignment vertical="center" wrapText="1"/>
    </xf>
    <xf numFmtId="167" fontId="0" fillId="37" borderId="4" xfId="0" applyNumberFormat="1" applyFill="1" applyBorder="1" applyAlignment="1">
      <alignment horizontal="center" vertical="center" wrapText="1"/>
    </xf>
    <xf numFmtId="1" fontId="0" fillId="37" borderId="4" xfId="0" applyNumberFormat="1" applyFill="1" applyBorder="1" applyAlignment="1">
      <alignment horizontal="center" vertical="center" wrapText="1"/>
    </xf>
    <xf numFmtId="167" fontId="0" fillId="37" borderId="0" xfId="0" applyNumberFormat="1" applyFill="1" applyBorder="1"/>
    <xf numFmtId="44" fontId="0" fillId="37" borderId="21" xfId="0" applyNumberFormat="1" applyFill="1" applyBorder="1" applyAlignment="1">
      <alignment horizontal="center" vertical="center"/>
    </xf>
    <xf numFmtId="167" fontId="0" fillId="0" borderId="0" xfId="0" applyNumberFormat="1" applyBorder="1" applyAlignment="1">
      <alignment horizontal="center" vertical="center" wrapText="1"/>
    </xf>
    <xf numFmtId="0" fontId="0" fillId="0" borderId="0" xfId="0" applyBorder="1" applyAlignment="1">
      <alignment horizontal="center" vertical="center" wrapText="1"/>
    </xf>
    <xf numFmtId="44" fontId="0" fillId="37" borderId="0" xfId="0" applyNumberFormat="1" applyFill="1" applyBorder="1" applyAlignment="1">
      <alignment horizontal="center" vertical="center" wrapText="1"/>
    </xf>
    <xf numFmtId="167" fontId="0" fillId="0" borderId="0" xfId="0" applyNumberFormat="1" applyBorder="1"/>
    <xf numFmtId="167" fontId="0" fillId="0" borderId="4" xfId="0" applyNumberFormat="1" applyFill="1" applyBorder="1" applyAlignment="1">
      <alignment horizontal="center" vertical="center"/>
    </xf>
    <xf numFmtId="0" fontId="0" fillId="21" borderId="5" xfId="0" applyFill="1" applyBorder="1" applyAlignment="1">
      <alignment horizontal="center" vertical="center"/>
    </xf>
    <xf numFmtId="0" fontId="0" fillId="21" borderId="4" xfId="0" applyFill="1" applyBorder="1" applyAlignment="1">
      <alignment horizontal="center" vertical="center" wrapText="1"/>
    </xf>
    <xf numFmtId="167" fontId="0" fillId="21" borderId="5" xfId="0" applyNumberFormat="1" applyFill="1" applyBorder="1" applyAlignment="1">
      <alignment horizontal="center" vertical="center"/>
    </xf>
    <xf numFmtId="0" fontId="0" fillId="21" borderId="4" xfId="0" applyFill="1" applyBorder="1" applyAlignment="1">
      <alignment horizontal="center" vertical="center"/>
    </xf>
    <xf numFmtId="167" fontId="0" fillId="21" borderId="4" xfId="0" applyNumberFormat="1" applyFill="1" applyBorder="1" applyAlignment="1">
      <alignment horizontal="center" vertical="center" wrapText="1"/>
    </xf>
    <xf numFmtId="14" fontId="0" fillId="21" borderId="4" xfId="0" applyNumberFormat="1" applyFill="1" applyBorder="1" applyAlignment="1">
      <alignment horizontal="center" vertical="center" wrapText="1"/>
    </xf>
    <xf numFmtId="167" fontId="0" fillId="21" borderId="4" xfId="0" applyNumberFormat="1" applyFill="1" applyBorder="1" applyAlignment="1">
      <alignment horizontal="center" vertical="center"/>
    </xf>
    <xf numFmtId="44" fontId="0" fillId="21" borderId="4" xfId="0" applyNumberFormat="1" applyFill="1" applyBorder="1" applyAlignment="1">
      <alignment horizontal="center" vertical="center" wrapText="1"/>
    </xf>
    <xf numFmtId="1" fontId="0" fillId="44" borderId="4" xfId="0" applyNumberFormat="1" applyFill="1" applyBorder="1" applyAlignment="1">
      <alignment horizontal="center" vertical="center"/>
    </xf>
    <xf numFmtId="0" fontId="0" fillId="0" borderId="4" xfId="0" applyBorder="1" applyAlignment="1">
      <alignment horizontal="center"/>
    </xf>
    <xf numFmtId="0" fontId="0" fillId="0" borderId="7" xfId="0" applyFill="1" applyBorder="1" applyAlignment="1">
      <alignment horizontal="center" vertical="center" wrapText="1"/>
    </xf>
    <xf numFmtId="0" fontId="0" fillId="0" borderId="11" xfId="0" applyBorder="1" applyAlignment="1">
      <alignment horizontal="center"/>
    </xf>
    <xf numFmtId="0" fontId="0" fillId="44" borderId="4" xfId="0" applyFill="1" applyBorder="1" applyAlignment="1">
      <alignment horizontal="center" vertical="center"/>
    </xf>
    <xf numFmtId="167" fontId="0" fillId="0" borderId="4" xfId="0" applyNumberFormat="1" applyFont="1" applyBorder="1" applyAlignment="1">
      <alignment horizontal="center" vertical="center" wrapText="1"/>
    </xf>
    <xf numFmtId="167" fontId="1" fillId="0" borderId="0" xfId="0" applyNumberFormat="1" applyFont="1"/>
    <xf numFmtId="167" fontId="0" fillId="0" borderId="4" xfId="0" applyNumberFormat="1" applyFont="1" applyFill="1" applyBorder="1" applyAlignment="1">
      <alignment horizontal="center" vertical="center" wrapText="1"/>
    </xf>
    <xf numFmtId="167" fontId="0" fillId="0" borderId="4" xfId="2" applyNumberFormat="1" applyFont="1" applyFill="1" applyBorder="1" applyAlignment="1">
      <alignment horizontal="center" vertical="center" wrapText="1"/>
    </xf>
    <xf numFmtId="167" fontId="0" fillId="0" borderId="4" xfId="0" applyNumberFormat="1" applyFill="1" applyBorder="1" applyAlignment="1">
      <alignment horizontal="center" vertical="center" wrapText="1"/>
    </xf>
    <xf numFmtId="167" fontId="0" fillId="0" borderId="4" xfId="1" applyNumberFormat="1" applyFont="1" applyFill="1" applyBorder="1" applyAlignment="1">
      <alignment horizontal="center" vertical="center" wrapText="1"/>
    </xf>
    <xf numFmtId="167" fontId="0" fillId="37" borderId="4" xfId="0" applyNumberFormat="1" applyFont="1" applyFill="1" applyBorder="1" applyAlignment="1">
      <alignment horizontal="center" vertical="center" wrapText="1"/>
    </xf>
    <xf numFmtId="167" fontId="0" fillId="0" borderId="4" xfId="0" applyNumberFormat="1" applyFill="1" applyBorder="1"/>
    <xf numFmtId="167" fontId="0" fillId="37" borderId="4" xfId="2" applyNumberFormat="1" applyFont="1" applyFill="1" applyBorder="1" applyAlignment="1">
      <alignment horizontal="center" vertical="center" wrapText="1"/>
    </xf>
    <xf numFmtId="167" fontId="7" fillId="37" borderId="4" xfId="0" applyNumberFormat="1" applyFont="1" applyFill="1" applyBorder="1" applyAlignment="1">
      <alignment horizontal="center" vertical="center"/>
    </xf>
    <xf numFmtId="167" fontId="7" fillId="0" borderId="4" xfId="0" applyNumberFormat="1" applyFont="1" applyFill="1" applyBorder="1" applyAlignment="1">
      <alignment horizontal="center" vertical="center"/>
    </xf>
    <xf numFmtId="167" fontId="0" fillId="0" borderId="7" xfId="0" applyNumberFormat="1" applyFill="1" applyBorder="1"/>
    <xf numFmtId="167" fontId="0" fillId="0" borderId="7" xfId="0" applyNumberFormat="1" applyFont="1" applyBorder="1" applyAlignment="1">
      <alignment horizontal="center" vertical="center" wrapText="1"/>
    </xf>
    <xf numFmtId="167" fontId="0" fillId="0" borderId="7" xfId="2" applyNumberFormat="1" applyFont="1" applyFill="1" applyBorder="1" applyAlignment="1">
      <alignment horizontal="center" vertical="center"/>
    </xf>
    <xf numFmtId="0" fontId="1" fillId="0" borderId="0" xfId="0" applyFont="1"/>
    <xf numFmtId="9" fontId="0" fillId="0" borderId="0" xfId="3" applyFont="1"/>
    <xf numFmtId="0" fontId="0" fillId="0" borderId="4" xfId="0" applyBorder="1" applyAlignment="1">
      <alignment horizontal="center"/>
    </xf>
    <xf numFmtId="0" fontId="0" fillId="4" borderId="0" xfId="0" applyFill="1"/>
    <xf numFmtId="44" fontId="0" fillId="4" borderId="0" xfId="0" applyNumberFormat="1" applyFill="1"/>
    <xf numFmtId="167" fontId="0" fillId="4" borderId="0" xfId="0" applyNumberFormat="1" applyFill="1"/>
    <xf numFmtId="44" fontId="0" fillId="0" borderId="11" xfId="0" applyNumberFormat="1" applyBorder="1" applyAlignment="1">
      <alignment horizontal="center" vertical="center" wrapText="1"/>
    </xf>
    <xf numFmtId="0" fontId="0" fillId="0" borderId="0" xfId="0" applyBorder="1" applyAlignment="1">
      <alignment horizontal="center" wrapText="1"/>
    </xf>
    <xf numFmtId="0" fontId="0" fillId="0" borderId="0" xfId="0" applyBorder="1" applyAlignment="1">
      <alignment wrapText="1"/>
    </xf>
    <xf numFmtId="0" fontId="0" fillId="13" borderId="0" xfId="0" applyFill="1"/>
    <xf numFmtId="9" fontId="0" fillId="0" borderId="13" xfId="3" applyNumberFormat="1" applyFont="1" applyFill="1" applyBorder="1" applyAlignment="1">
      <alignment vertical="center"/>
    </xf>
    <xf numFmtId="170" fontId="0" fillId="0" borderId="0" xfId="3" applyNumberFormat="1" applyFont="1"/>
    <xf numFmtId="170" fontId="0" fillId="0" borderId="11" xfId="3" applyNumberFormat="1" applyFont="1" applyFill="1" applyBorder="1" applyAlignment="1">
      <alignment vertical="center"/>
    </xf>
    <xf numFmtId="0" fontId="0" fillId="8" borderId="4" xfId="0" applyFill="1" applyBorder="1" applyAlignment="1">
      <alignment horizontal="center" vertical="center"/>
    </xf>
    <xf numFmtId="0" fontId="0" fillId="8" borderId="8" xfId="0" applyFill="1" applyBorder="1" applyAlignment="1">
      <alignment horizontal="center" vertical="center" wrapText="1"/>
    </xf>
    <xf numFmtId="0" fontId="0" fillId="10" borderId="5" xfId="0" applyFill="1" applyBorder="1" applyAlignment="1">
      <alignment horizontal="center" vertical="center" wrapText="1"/>
    </xf>
    <xf numFmtId="0" fontId="6" fillId="30" borderId="4" xfId="0" applyFont="1" applyFill="1" applyBorder="1" applyAlignment="1">
      <alignment horizontal="center" vertical="center" wrapText="1"/>
    </xf>
    <xf numFmtId="0" fontId="6" fillId="30" borderId="7" xfId="0" applyFont="1" applyFill="1" applyBorder="1" applyAlignment="1">
      <alignment horizontal="center" vertical="center" wrapText="1"/>
    </xf>
    <xf numFmtId="0" fontId="0" fillId="30" borderId="19" xfId="0" applyFont="1" applyFill="1" applyBorder="1" applyAlignment="1">
      <alignment horizontal="center" vertical="center" wrapText="1"/>
    </xf>
    <xf numFmtId="0" fontId="0" fillId="30" borderId="4" xfId="0" applyFont="1" applyFill="1" applyBorder="1" applyAlignment="1">
      <alignment horizontal="center" vertical="center" wrapText="1"/>
    </xf>
    <xf numFmtId="0" fontId="0" fillId="30" borderId="7" xfId="0" applyFont="1" applyFill="1" applyBorder="1" applyAlignment="1">
      <alignment horizontal="center" vertical="center" wrapText="1"/>
    </xf>
    <xf numFmtId="0" fontId="0" fillId="36" borderId="5" xfId="0" applyFill="1" applyBorder="1" applyAlignment="1">
      <alignment horizontal="center" vertical="center" wrapText="1"/>
    </xf>
    <xf numFmtId="0" fontId="0" fillId="36" borderId="5" xfId="0" applyFill="1" applyBorder="1" applyAlignment="1">
      <alignment horizontal="center" vertical="center"/>
    </xf>
    <xf numFmtId="0" fontId="0" fillId="37" borderId="7" xfId="0" applyFill="1" applyBorder="1" applyAlignment="1">
      <alignment horizontal="center" vertical="center" wrapText="1"/>
    </xf>
    <xf numFmtId="0" fontId="0" fillId="4" borderId="4" xfId="0" applyFill="1" applyBorder="1" applyAlignment="1">
      <alignment horizontal="center" vertical="center" wrapText="1"/>
    </xf>
    <xf numFmtId="44" fontId="0" fillId="4" borderId="4" xfId="0" applyNumberFormat="1" applyFill="1" applyBorder="1" applyAlignment="1">
      <alignment horizontal="center" vertical="center" wrapText="1"/>
    </xf>
    <xf numFmtId="0" fontId="0" fillId="5" borderId="4" xfId="0" applyFill="1" applyBorder="1" applyAlignment="1">
      <alignment horizontal="center" vertical="center" wrapText="1"/>
    </xf>
    <xf numFmtId="0" fontId="0" fillId="34" borderId="7" xfId="0" applyFill="1" applyBorder="1" applyAlignment="1">
      <alignment horizontal="center" vertical="center" wrapText="1"/>
    </xf>
    <xf numFmtId="0" fontId="0" fillId="34" borderId="5" xfId="0" applyFill="1" applyBorder="1" applyAlignment="1">
      <alignment horizontal="center" vertical="center" wrapText="1"/>
    </xf>
    <xf numFmtId="44" fontId="0" fillId="34" borderId="4" xfId="0" applyNumberFormat="1" applyFill="1" applyBorder="1" applyAlignment="1">
      <alignment horizontal="center" vertical="center"/>
    </xf>
    <xf numFmtId="0" fontId="0" fillId="34" borderId="4" xfId="0" applyFill="1" applyBorder="1" applyAlignment="1">
      <alignment horizontal="center" vertical="center" wrapText="1"/>
    </xf>
    <xf numFmtId="0" fontId="0" fillId="9" borderId="5" xfId="0" applyFill="1" applyBorder="1" applyAlignment="1">
      <alignment horizontal="center" vertical="center" wrapText="1"/>
    </xf>
    <xf numFmtId="0" fontId="0" fillId="9" borderId="5" xfId="0" applyFill="1" applyBorder="1" applyAlignment="1">
      <alignment horizontal="center" vertical="center"/>
    </xf>
    <xf numFmtId="0" fontId="0" fillId="30" borderId="5" xfId="0" applyFill="1" applyBorder="1" applyAlignment="1">
      <alignment horizontal="center" vertical="center" wrapText="1"/>
    </xf>
    <xf numFmtId="0" fontId="0" fillId="30" borderId="5" xfId="0" applyFill="1" applyBorder="1" applyAlignment="1">
      <alignment horizontal="center" vertical="center"/>
    </xf>
    <xf numFmtId="0" fontId="0" fillId="8" borderId="4" xfId="0" applyFill="1" applyBorder="1" applyAlignment="1">
      <alignment horizontal="center" vertical="center"/>
    </xf>
    <xf numFmtId="0" fontId="0" fillId="8" borderId="4" xfId="0" applyFill="1" applyBorder="1" applyAlignment="1">
      <alignment horizontal="center" vertical="center" wrapText="1"/>
    </xf>
    <xf numFmtId="167" fontId="0" fillId="8" borderId="4" xfId="0" applyNumberFormat="1" applyFill="1" applyBorder="1" applyAlignment="1">
      <alignment horizontal="center" vertical="center"/>
    </xf>
    <xf numFmtId="0" fontId="0" fillId="44" borderId="4" xfId="0" applyFill="1" applyBorder="1" applyAlignment="1">
      <alignment horizontal="center" vertical="center" wrapText="1"/>
    </xf>
    <xf numFmtId="0" fontId="0" fillId="37" borderId="8" xfId="0" applyFill="1" applyBorder="1" applyAlignment="1">
      <alignment horizontal="center" vertical="center" wrapText="1"/>
    </xf>
    <xf numFmtId="0" fontId="2" fillId="8" borderId="17" xfId="0" applyFont="1" applyFill="1" applyBorder="1" applyAlignment="1">
      <alignment horizontal="center" vertical="center" wrapText="1"/>
    </xf>
    <xf numFmtId="0" fontId="2" fillId="8" borderId="6" xfId="0" applyFont="1" applyFill="1" applyBorder="1" applyAlignment="1">
      <alignment horizontal="center" vertical="center"/>
    </xf>
    <xf numFmtId="0" fontId="2" fillId="8" borderId="6" xfId="0" applyFont="1" applyFill="1" applyBorder="1" applyAlignment="1">
      <alignment horizontal="center" vertical="center" wrapText="1"/>
    </xf>
    <xf numFmtId="43" fontId="2" fillId="8" borderId="6" xfId="1" applyFont="1" applyFill="1" applyBorder="1" applyAlignment="1">
      <alignment horizontal="center" vertical="center" wrapText="1"/>
    </xf>
    <xf numFmtId="44" fontId="2" fillId="8" borderId="6" xfId="1" applyNumberFormat="1" applyFont="1" applyFill="1" applyBorder="1" applyAlignment="1">
      <alignment horizontal="center" vertical="center"/>
    </xf>
    <xf numFmtId="44" fontId="2" fillId="8" borderId="6" xfId="2" applyFont="1" applyFill="1" applyBorder="1" applyAlignment="1">
      <alignment horizontal="center" vertical="center"/>
    </xf>
    <xf numFmtId="0" fontId="1" fillId="8" borderId="6"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0" fillId="0" borderId="4" xfId="0" applyFont="1" applyFill="1" applyBorder="1" applyAlignment="1">
      <alignment horizontal="center" vertical="center"/>
    </xf>
    <xf numFmtId="44" fontId="0" fillId="12" borderId="4" xfId="1" applyNumberFormat="1" applyFont="1" applyFill="1" applyBorder="1" applyAlignment="1">
      <alignment horizontal="center" vertical="center"/>
    </xf>
    <xf numFmtId="0" fontId="0" fillId="6" borderId="4" xfId="0" applyFill="1" applyBorder="1" applyAlignment="1">
      <alignment horizontal="center" vertical="center"/>
    </xf>
    <xf numFmtId="44" fontId="0" fillId="6" borderId="4" xfId="1" applyNumberFormat="1" applyFont="1" applyFill="1" applyBorder="1" applyAlignment="1">
      <alignment horizontal="center" vertical="center"/>
    </xf>
    <xf numFmtId="14" fontId="0" fillId="6" borderId="4" xfId="0" applyNumberFormat="1" applyFill="1" applyBorder="1" applyAlignment="1">
      <alignment horizontal="center" vertical="center"/>
    </xf>
    <xf numFmtId="44" fontId="0" fillId="6" borderId="4" xfId="1" applyNumberFormat="1" applyFont="1" applyFill="1" applyBorder="1" applyAlignment="1">
      <alignment horizontal="center" vertical="center" wrapText="1"/>
    </xf>
    <xf numFmtId="44" fontId="0" fillId="6" borderId="4" xfId="2" applyFont="1" applyFill="1" applyBorder="1" applyAlignment="1">
      <alignment horizontal="center" vertical="center"/>
    </xf>
    <xf numFmtId="44" fontId="0" fillId="6" borderId="5" xfId="1" applyNumberFormat="1" applyFont="1" applyFill="1" applyBorder="1" applyAlignment="1">
      <alignment horizontal="center" vertical="center"/>
    </xf>
    <xf numFmtId="0" fontId="0" fillId="6" borderId="5" xfId="0" applyFill="1" applyBorder="1" applyAlignment="1">
      <alignment horizontal="center" vertical="center"/>
    </xf>
    <xf numFmtId="0" fontId="0" fillId="6" borderId="5" xfId="0" applyFill="1" applyBorder="1" applyAlignment="1">
      <alignment horizontal="center" vertical="center" wrapText="1"/>
    </xf>
    <xf numFmtId="44" fontId="6" fillId="6" borderId="4" xfId="2" applyFont="1" applyFill="1" applyBorder="1" applyAlignment="1">
      <alignment horizontal="center" vertical="center"/>
    </xf>
    <xf numFmtId="0" fontId="0" fillId="6" borderId="16" xfId="0" applyFill="1" applyBorder="1" applyAlignment="1">
      <alignment horizontal="center" vertical="center"/>
    </xf>
    <xf numFmtId="0" fontId="0" fillId="6" borderId="7" xfId="0" applyFill="1" applyBorder="1" applyAlignment="1">
      <alignment horizontal="center" vertical="center" wrapText="1"/>
    </xf>
    <xf numFmtId="44" fontId="0" fillId="6" borderId="7" xfId="1" applyNumberFormat="1" applyFont="1" applyFill="1" applyBorder="1" applyAlignment="1">
      <alignment horizontal="center" vertical="center"/>
    </xf>
    <xf numFmtId="0" fontId="0" fillId="6" borderId="7" xfId="0" applyFill="1" applyBorder="1" applyAlignment="1">
      <alignment horizontal="center" vertical="center"/>
    </xf>
    <xf numFmtId="14" fontId="0" fillId="6" borderId="7" xfId="0" applyNumberFormat="1" applyFill="1" applyBorder="1" applyAlignment="1">
      <alignment horizontal="center" vertical="center"/>
    </xf>
    <xf numFmtId="44" fontId="0" fillId="6" borderId="7" xfId="2" applyFont="1" applyFill="1" applyBorder="1" applyAlignment="1">
      <alignment horizontal="center" vertical="center"/>
    </xf>
    <xf numFmtId="44" fontId="0" fillId="6" borderId="8" xfId="1" applyNumberFormat="1" applyFont="1" applyFill="1" applyBorder="1" applyAlignment="1">
      <alignment horizontal="center" vertical="center"/>
    </xf>
    <xf numFmtId="0" fontId="0" fillId="6" borderId="8" xfId="0" applyFill="1" applyBorder="1" applyAlignment="1">
      <alignment horizontal="center" vertical="center"/>
    </xf>
    <xf numFmtId="0" fontId="0" fillId="6" borderId="8" xfId="0" applyFill="1" applyBorder="1" applyAlignment="1">
      <alignment horizontal="center" vertical="center" wrapText="1"/>
    </xf>
    <xf numFmtId="0" fontId="0" fillId="6" borderId="4" xfId="0" applyFill="1" applyBorder="1" applyAlignment="1">
      <alignment vertical="center"/>
    </xf>
    <xf numFmtId="0" fontId="0" fillId="4" borderId="5" xfId="0" applyFill="1" applyBorder="1" applyAlignment="1">
      <alignment horizontal="center" vertical="center" wrapText="1"/>
    </xf>
    <xf numFmtId="44" fontId="0" fillId="4" borderId="5" xfId="1" applyNumberFormat="1" applyFont="1" applyFill="1" applyBorder="1" applyAlignment="1">
      <alignment horizontal="center" vertical="center"/>
    </xf>
    <xf numFmtId="0" fontId="0" fillId="4" borderId="5" xfId="0" applyFill="1" applyBorder="1" applyAlignment="1">
      <alignment horizontal="center" vertical="center"/>
    </xf>
    <xf numFmtId="14" fontId="0" fillId="4" borderId="5" xfId="0" applyNumberFormat="1" applyFill="1" applyBorder="1" applyAlignment="1">
      <alignment horizontal="center" vertical="center"/>
    </xf>
    <xf numFmtId="44" fontId="0" fillId="4" borderId="5" xfId="2" applyFont="1" applyFill="1" applyBorder="1" applyAlignment="1">
      <alignment horizontal="center" vertical="center"/>
    </xf>
    <xf numFmtId="0" fontId="0" fillId="4" borderId="5" xfId="0" applyFill="1" applyBorder="1" applyAlignment="1">
      <alignment horizontal="center" wrapText="1"/>
    </xf>
    <xf numFmtId="0" fontId="0" fillId="4" borderId="0" xfId="0" applyFill="1" applyAlignment="1">
      <alignment horizontal="center" vertical="center" wrapText="1"/>
    </xf>
    <xf numFmtId="44" fontId="0" fillId="4" borderId="4" xfId="1" applyNumberFormat="1" applyFont="1" applyFill="1" applyBorder="1" applyAlignment="1">
      <alignment horizontal="center" vertical="center"/>
    </xf>
    <xf numFmtId="44" fontId="0" fillId="4" borderId="4" xfId="2" applyFont="1" applyFill="1" applyBorder="1" applyAlignment="1">
      <alignment horizontal="center" vertical="center"/>
    </xf>
    <xf numFmtId="2" fontId="0" fillId="4" borderId="4" xfId="0" applyNumberFormat="1" applyFill="1" applyBorder="1" applyAlignment="1">
      <alignment horizontal="center" vertical="center"/>
    </xf>
    <xf numFmtId="0" fontId="0" fillId="4" borderId="4" xfId="0" applyFill="1" applyBorder="1" applyAlignment="1">
      <alignment horizontal="center" wrapText="1"/>
    </xf>
    <xf numFmtId="44" fontId="0" fillId="4" borderId="0" xfId="1" applyNumberFormat="1" applyFont="1" applyFill="1"/>
    <xf numFmtId="0" fontId="0" fillId="4" borderId="8" xfId="0" applyFill="1" applyBorder="1" applyAlignment="1">
      <alignment horizontal="center" vertical="center" wrapText="1"/>
    </xf>
    <xf numFmtId="0" fontId="0" fillId="4" borderId="7" xfId="0" applyFill="1" applyBorder="1" applyAlignment="1">
      <alignment horizontal="center" vertical="center" wrapText="1"/>
    </xf>
    <xf numFmtId="44" fontId="0" fillId="4" borderId="7" xfId="1" applyNumberFormat="1" applyFont="1" applyFill="1" applyBorder="1" applyAlignment="1">
      <alignment horizontal="center" vertical="center" wrapText="1"/>
    </xf>
    <xf numFmtId="14" fontId="0" fillId="4" borderId="7" xfId="0" applyNumberFormat="1" applyFill="1" applyBorder="1" applyAlignment="1">
      <alignment horizontal="center" vertical="center"/>
    </xf>
    <xf numFmtId="44" fontId="0" fillId="4" borderId="7" xfId="2" applyFont="1" applyFill="1" applyBorder="1" applyAlignment="1">
      <alignment horizontal="center" vertical="center" wrapText="1"/>
    </xf>
    <xf numFmtId="44" fontId="0" fillId="4" borderId="7" xfId="1" applyNumberFormat="1" applyFont="1" applyFill="1" applyBorder="1" applyAlignment="1">
      <alignment horizontal="center" vertical="center"/>
    </xf>
    <xf numFmtId="44" fontId="0" fillId="4" borderId="8" xfId="1" applyNumberFormat="1" applyFont="1" applyFill="1" applyBorder="1" applyAlignment="1">
      <alignment horizontal="center" vertical="center"/>
    </xf>
    <xf numFmtId="0" fontId="0" fillId="4" borderId="7" xfId="0" applyFill="1" applyBorder="1" applyAlignment="1">
      <alignment horizontal="center" vertical="center"/>
    </xf>
    <xf numFmtId="0" fontId="0" fillId="4" borderId="5" xfId="0" applyFont="1" applyFill="1" applyBorder="1" applyAlignment="1">
      <alignment horizontal="center" vertical="center" wrapText="1"/>
    </xf>
    <xf numFmtId="0" fontId="0" fillId="4" borderId="12" xfId="0" applyFill="1" applyBorder="1" applyAlignment="1">
      <alignment horizontal="center" vertical="center" wrapText="1"/>
    </xf>
    <xf numFmtId="14" fontId="0" fillId="4" borderId="12" xfId="0" applyNumberFormat="1" applyFill="1" applyBorder="1" applyAlignment="1">
      <alignment horizontal="center" vertical="center"/>
    </xf>
    <xf numFmtId="0" fontId="0" fillId="4" borderId="12" xfId="0" applyFill="1" applyBorder="1" applyAlignment="1">
      <alignment horizontal="center" vertical="center"/>
    </xf>
    <xf numFmtId="2" fontId="0" fillId="6" borderId="4" xfId="0" applyNumberFormat="1" applyFill="1" applyBorder="1" applyAlignment="1">
      <alignment horizontal="center" vertical="center"/>
    </xf>
    <xf numFmtId="0" fontId="0" fillId="33" borderId="4" xfId="0" applyFill="1" applyBorder="1" applyAlignment="1">
      <alignment horizontal="center" vertical="center"/>
    </xf>
    <xf numFmtId="44" fontId="0" fillId="33" borderId="5" xfId="1" applyNumberFormat="1" applyFont="1" applyFill="1" applyBorder="1" applyAlignment="1">
      <alignment horizontal="center" vertical="center"/>
    </xf>
    <xf numFmtId="0" fontId="0" fillId="33" borderId="5" xfId="0" applyFill="1" applyBorder="1" applyAlignment="1">
      <alignment horizontal="center" vertical="center" wrapText="1"/>
    </xf>
    <xf numFmtId="0" fontId="0" fillId="33" borderId="5" xfId="0" applyFill="1" applyBorder="1" applyAlignment="1">
      <alignment horizontal="center" vertical="center"/>
    </xf>
    <xf numFmtId="14" fontId="0" fillId="33" borderId="5" xfId="0" applyNumberFormat="1" applyFill="1" applyBorder="1" applyAlignment="1">
      <alignment horizontal="center" vertical="center"/>
    </xf>
    <xf numFmtId="44" fontId="0" fillId="33" borderId="0" xfId="2" applyFont="1" applyFill="1" applyAlignment="1">
      <alignment horizontal="center" vertical="center" wrapText="1"/>
    </xf>
    <xf numFmtId="44" fontId="0" fillId="33" borderId="5" xfId="0" applyNumberFormat="1" applyFill="1" applyBorder="1" applyAlignment="1">
      <alignment horizontal="center" vertical="center"/>
    </xf>
    <xf numFmtId="2" fontId="0" fillId="33" borderId="4" xfId="0" applyNumberFormat="1" applyFill="1" applyBorder="1" applyAlignment="1">
      <alignment horizontal="center" vertical="center"/>
    </xf>
    <xf numFmtId="44" fontId="0" fillId="34" borderId="4" xfId="1" applyNumberFormat="1" applyFont="1" applyFill="1" applyBorder="1" applyAlignment="1">
      <alignment horizontal="center" vertical="center"/>
    </xf>
    <xf numFmtId="14" fontId="0" fillId="34" borderId="4" xfId="0" applyNumberFormat="1" applyFill="1" applyBorder="1" applyAlignment="1">
      <alignment horizontal="center" vertical="center"/>
    </xf>
    <xf numFmtId="14" fontId="0" fillId="34" borderId="0" xfId="0" applyNumberFormat="1" applyFill="1" applyAlignment="1">
      <alignment horizontal="center" vertical="center"/>
    </xf>
    <xf numFmtId="14" fontId="0" fillId="34" borderId="7" xfId="0" applyNumberFormat="1" applyFill="1" applyBorder="1" applyAlignment="1">
      <alignment horizontal="center" vertical="center"/>
    </xf>
    <xf numFmtId="44" fontId="0" fillId="34" borderId="0" xfId="1" applyNumberFormat="1" applyFont="1" applyFill="1" applyAlignment="1">
      <alignment horizontal="center" vertical="center"/>
    </xf>
    <xf numFmtId="44" fontId="0" fillId="34" borderId="7" xfId="2" applyFont="1" applyFill="1" applyBorder="1" applyAlignment="1">
      <alignment horizontal="center" vertical="center"/>
    </xf>
    <xf numFmtId="44" fontId="0" fillId="34" borderId="5" xfId="1" applyNumberFormat="1" applyFont="1" applyFill="1" applyBorder="1" applyAlignment="1">
      <alignment horizontal="center" vertical="center"/>
    </xf>
    <xf numFmtId="2" fontId="0" fillId="34" borderId="4" xfId="0" applyNumberFormat="1" applyFill="1" applyBorder="1" applyAlignment="1">
      <alignment horizontal="center" vertical="center"/>
    </xf>
    <xf numFmtId="0" fontId="0" fillId="40" borderId="4" xfId="0" applyFill="1" applyBorder="1" applyAlignment="1">
      <alignment horizontal="center" vertical="center"/>
    </xf>
    <xf numFmtId="44" fontId="0" fillId="40" borderId="4" xfId="1" applyNumberFormat="1" applyFont="1" applyFill="1" applyBorder="1" applyAlignment="1">
      <alignment horizontal="center" vertical="center"/>
    </xf>
    <xf numFmtId="0" fontId="0" fillId="40" borderId="4" xfId="0" applyFill="1" applyBorder="1"/>
    <xf numFmtId="44" fontId="0" fillId="40" borderId="4" xfId="2" applyFont="1" applyFill="1" applyBorder="1" applyAlignment="1">
      <alignment horizontal="center" vertical="center" wrapText="1"/>
    </xf>
    <xf numFmtId="44" fontId="0" fillId="40" borderId="5" xfId="1" applyNumberFormat="1" applyFont="1" applyFill="1" applyBorder="1" applyAlignment="1">
      <alignment horizontal="center" vertical="center"/>
    </xf>
    <xf numFmtId="0" fontId="0" fillId="40" borderId="0" xfId="0" applyFill="1" applyAlignment="1">
      <alignment horizontal="center" vertical="center" wrapText="1"/>
    </xf>
    <xf numFmtId="2" fontId="0" fillId="40" borderId="4" xfId="0" applyNumberFormat="1" applyFill="1" applyBorder="1" applyAlignment="1">
      <alignment horizontal="center" vertical="center"/>
    </xf>
    <xf numFmtId="0" fontId="0" fillId="40" borderId="7" xfId="0" applyFill="1" applyBorder="1" applyAlignment="1">
      <alignment horizontal="center" vertical="center"/>
    </xf>
    <xf numFmtId="14" fontId="0" fillId="40" borderId="7" xfId="0" applyNumberFormat="1" applyFill="1" applyBorder="1" applyAlignment="1">
      <alignment horizontal="center" vertical="center"/>
    </xf>
    <xf numFmtId="0" fontId="0" fillId="40" borderId="7" xfId="0" applyFill="1" applyBorder="1"/>
    <xf numFmtId="0" fontId="0" fillId="40" borderId="8" xfId="0" applyFill="1" applyBorder="1" applyAlignment="1">
      <alignment horizontal="center" vertical="center" wrapText="1"/>
    </xf>
    <xf numFmtId="44" fontId="0" fillId="40" borderId="7" xfId="1" applyNumberFormat="1" applyFont="1" applyFill="1" applyBorder="1" applyAlignment="1">
      <alignment horizontal="center" vertical="center"/>
    </xf>
    <xf numFmtId="44" fontId="0" fillId="40" borderId="7" xfId="2" applyFont="1" applyFill="1" applyBorder="1" applyAlignment="1">
      <alignment horizontal="center" vertical="center" wrapText="1"/>
    </xf>
    <xf numFmtId="44" fontId="0" fillId="40" borderId="7" xfId="0" applyNumberFormat="1" applyFill="1" applyBorder="1" applyAlignment="1">
      <alignment horizontal="center" vertical="center"/>
    </xf>
    <xf numFmtId="0" fontId="0" fillId="40" borderId="7" xfId="0" applyFill="1" applyBorder="1" applyAlignment="1">
      <alignment horizontal="center" vertical="center" wrapText="1"/>
    </xf>
    <xf numFmtId="0" fontId="0" fillId="40" borderId="8" xfId="0" applyFill="1" applyBorder="1" applyAlignment="1">
      <alignment horizontal="center" vertical="center"/>
    </xf>
    <xf numFmtId="44" fontId="0" fillId="40" borderId="8" xfId="1" applyNumberFormat="1" applyFont="1" applyFill="1" applyBorder="1" applyAlignment="1">
      <alignment horizontal="center" vertical="center"/>
    </xf>
    <xf numFmtId="0" fontId="0" fillId="40" borderId="13" xfId="0" applyFill="1" applyBorder="1" applyAlignment="1">
      <alignment horizontal="center" vertical="center" wrapText="1"/>
    </xf>
    <xf numFmtId="0" fontId="0" fillId="40" borderId="11" xfId="0" applyFill="1" applyBorder="1" applyAlignment="1">
      <alignment horizontal="center" vertical="center" wrapText="1"/>
    </xf>
    <xf numFmtId="44" fontId="0" fillId="40" borderId="4" xfId="2" applyFont="1" applyFill="1" applyBorder="1" applyAlignment="1">
      <alignment horizontal="center" vertical="center"/>
    </xf>
    <xf numFmtId="44" fontId="0" fillId="10" borderId="4" xfId="1" applyNumberFormat="1" applyFont="1" applyFill="1" applyBorder="1" applyAlignment="1">
      <alignment horizontal="center" vertical="center"/>
    </xf>
    <xf numFmtId="0" fontId="0" fillId="10" borderId="4" xfId="0" applyFill="1" applyBorder="1" applyAlignment="1">
      <alignment horizontal="center" vertical="center"/>
    </xf>
    <xf numFmtId="14" fontId="0" fillId="10" borderId="4" xfId="0" applyNumberFormat="1" applyFill="1" applyBorder="1" applyAlignment="1">
      <alignment horizontal="center" vertical="center"/>
    </xf>
    <xf numFmtId="44" fontId="0" fillId="10" borderId="4" xfId="2" applyFont="1" applyFill="1" applyBorder="1" applyAlignment="1">
      <alignment horizontal="center" vertical="center"/>
    </xf>
    <xf numFmtId="44" fontId="0" fillId="10" borderId="4" xfId="0" applyNumberFormat="1" applyFill="1" applyBorder="1" applyAlignment="1">
      <alignment horizontal="center" vertical="center"/>
    </xf>
    <xf numFmtId="44" fontId="0" fillId="10" borderId="5" xfId="1" applyNumberFormat="1" applyFont="1" applyFill="1" applyBorder="1" applyAlignment="1">
      <alignment horizontal="center" vertical="center"/>
    </xf>
    <xf numFmtId="2" fontId="0" fillId="10" borderId="4" xfId="0" applyNumberFormat="1" applyFill="1" applyBorder="1" applyAlignment="1">
      <alignment horizontal="center" vertical="center"/>
    </xf>
    <xf numFmtId="0" fontId="0" fillId="10" borderId="5" xfId="0" applyFill="1" applyBorder="1" applyAlignment="1">
      <alignment horizontal="center" vertical="center"/>
    </xf>
    <xf numFmtId="44" fontId="0" fillId="43" borderId="4" xfId="1" applyNumberFormat="1" applyFont="1" applyFill="1" applyBorder="1" applyAlignment="1">
      <alignment horizontal="center" vertical="center"/>
    </xf>
    <xf numFmtId="0" fontId="0" fillId="43" borderId="4" xfId="0" applyFill="1" applyBorder="1" applyAlignment="1">
      <alignment horizontal="center" vertical="center"/>
    </xf>
    <xf numFmtId="44" fontId="0" fillId="43" borderId="4" xfId="2" applyFont="1" applyFill="1" applyBorder="1" applyAlignment="1">
      <alignment horizontal="center" vertical="center"/>
    </xf>
    <xf numFmtId="44" fontId="0" fillId="43" borderId="5" xfId="1" applyNumberFormat="1" applyFont="1" applyFill="1" applyBorder="1" applyAlignment="1">
      <alignment horizontal="center" vertical="center"/>
    </xf>
    <xf numFmtId="2" fontId="0" fillId="43" borderId="4" xfId="0" applyNumberFormat="1" applyFill="1" applyBorder="1" applyAlignment="1">
      <alignment horizontal="center" vertical="center"/>
    </xf>
    <xf numFmtId="0" fontId="0" fillId="45" borderId="4" xfId="0" applyFill="1" applyBorder="1" applyAlignment="1">
      <alignment horizontal="center" vertical="center" wrapText="1"/>
    </xf>
    <xf numFmtId="44" fontId="0" fillId="45" borderId="4" xfId="1" applyNumberFormat="1" applyFont="1" applyFill="1" applyBorder="1" applyAlignment="1">
      <alignment horizontal="center" vertical="center"/>
    </xf>
    <xf numFmtId="0" fontId="0" fillId="45" borderId="4" xfId="0" applyFill="1" applyBorder="1" applyAlignment="1">
      <alignment horizontal="center" vertical="center"/>
    </xf>
    <xf numFmtId="14" fontId="0" fillId="45" borderId="4" xfId="0" applyNumberFormat="1" applyFill="1" applyBorder="1" applyAlignment="1">
      <alignment horizontal="center" vertical="center"/>
    </xf>
    <xf numFmtId="14" fontId="0" fillId="45" borderId="4" xfId="0" applyNumberFormat="1" applyFill="1" applyBorder="1" applyAlignment="1">
      <alignment horizontal="center" vertical="center" wrapText="1"/>
    </xf>
    <xf numFmtId="44" fontId="0" fillId="45" borderId="5" xfId="1" applyNumberFormat="1" applyFont="1" applyFill="1" applyBorder="1" applyAlignment="1">
      <alignment horizontal="center" vertical="center"/>
    </xf>
    <xf numFmtId="2" fontId="0" fillId="45" borderId="4" xfId="0" applyNumberFormat="1" applyFill="1" applyBorder="1" applyAlignment="1">
      <alignment horizontal="center" vertical="center"/>
    </xf>
    <xf numFmtId="0" fontId="0" fillId="45" borderId="5" xfId="0" applyFill="1" applyBorder="1" applyAlignment="1">
      <alignment horizontal="center" vertical="center" wrapText="1"/>
    </xf>
    <xf numFmtId="0" fontId="0" fillId="45" borderId="5" xfId="0" applyFill="1" applyBorder="1" applyAlignment="1">
      <alignment horizontal="center" vertical="center"/>
    </xf>
    <xf numFmtId="0" fontId="0" fillId="30" borderId="11" xfId="0" applyFill="1" applyBorder="1" applyAlignment="1">
      <alignment horizontal="center" vertical="center" wrapText="1"/>
    </xf>
    <xf numFmtId="44" fontId="0" fillId="30" borderId="4" xfId="1" applyNumberFormat="1" applyFont="1" applyFill="1" applyBorder="1" applyAlignment="1">
      <alignment horizontal="center" vertical="center"/>
    </xf>
    <xf numFmtId="14" fontId="0" fillId="30" borderId="4" xfId="0" applyNumberFormat="1" applyFill="1" applyBorder="1" applyAlignment="1">
      <alignment horizontal="center" vertical="center" wrapText="1"/>
    </xf>
    <xf numFmtId="44" fontId="0" fillId="30" borderId="4" xfId="2" applyFont="1" applyFill="1" applyBorder="1" applyAlignment="1">
      <alignment horizontal="center" vertical="center"/>
    </xf>
    <xf numFmtId="44" fontId="0" fillId="30" borderId="5" xfId="1" applyNumberFormat="1" applyFont="1" applyFill="1" applyBorder="1" applyAlignment="1">
      <alignment horizontal="center" vertical="center"/>
    </xf>
    <xf numFmtId="0" fontId="0" fillId="30" borderId="10" xfId="0" applyFill="1" applyBorder="1" applyAlignment="1">
      <alignment horizontal="center" vertical="center"/>
    </xf>
    <xf numFmtId="44" fontId="0" fillId="8" borderId="4" xfId="1" applyNumberFormat="1" applyFont="1" applyFill="1" applyBorder="1" applyAlignment="1">
      <alignment horizontal="center" vertical="center"/>
    </xf>
    <xf numFmtId="14" fontId="0" fillId="8" borderId="4" xfId="0" applyNumberFormat="1" applyFill="1" applyBorder="1" applyAlignment="1">
      <alignment horizontal="center" vertical="center" wrapText="1"/>
    </xf>
    <xf numFmtId="44" fontId="0" fillId="8" borderId="4" xfId="2" applyFont="1" applyFill="1" applyBorder="1" applyAlignment="1">
      <alignment horizontal="center" vertical="center"/>
    </xf>
    <xf numFmtId="44" fontId="0" fillId="8" borderId="5" xfId="1" applyNumberFormat="1" applyFont="1" applyFill="1" applyBorder="1" applyAlignment="1">
      <alignment horizontal="center" vertical="center"/>
    </xf>
    <xf numFmtId="0" fontId="0" fillId="36" borderId="4" xfId="0" applyFill="1" applyBorder="1" applyAlignment="1">
      <alignment horizontal="center" vertical="center" wrapText="1"/>
    </xf>
    <xf numFmtId="44" fontId="0" fillId="36" borderId="4" xfId="0" applyNumberFormat="1" applyFill="1" applyBorder="1" applyAlignment="1">
      <alignment horizontal="center" vertical="center"/>
    </xf>
    <xf numFmtId="0" fontId="0" fillId="36" borderId="4" xfId="0" applyFill="1" applyBorder="1" applyAlignment="1">
      <alignment horizontal="center" vertical="center"/>
    </xf>
    <xf numFmtId="14" fontId="0" fillId="36" borderId="4" xfId="0" applyNumberFormat="1" applyFill="1" applyBorder="1" applyAlignment="1">
      <alignment horizontal="center" vertical="center"/>
    </xf>
    <xf numFmtId="44" fontId="0" fillId="36" borderId="4" xfId="1" applyNumberFormat="1" applyFont="1" applyFill="1" applyBorder="1" applyAlignment="1">
      <alignment horizontal="center" vertical="center"/>
    </xf>
    <xf numFmtId="44" fontId="0" fillId="36" borderId="5" xfId="1" applyNumberFormat="1" applyFont="1" applyFill="1" applyBorder="1" applyAlignment="1">
      <alignment horizontal="center" vertical="center"/>
    </xf>
    <xf numFmtId="164" fontId="0" fillId="36" borderId="4" xfId="1" applyNumberFormat="1" applyFont="1" applyFill="1" applyBorder="1" applyAlignment="1">
      <alignment horizontal="center" vertical="center" wrapText="1"/>
    </xf>
    <xf numFmtId="2" fontId="0" fillId="36" borderId="4" xfId="0" applyNumberFormat="1" applyFill="1" applyBorder="1" applyAlignment="1">
      <alignment horizontal="center" vertical="center"/>
    </xf>
    <xf numFmtId="44" fontId="0" fillId="36" borderId="4" xfId="2" applyFont="1" applyFill="1" applyBorder="1" applyAlignment="1">
      <alignment horizontal="center" vertical="center"/>
    </xf>
    <xf numFmtId="44" fontId="0" fillId="35" borderId="4" xfId="0" applyNumberFormat="1" applyFill="1" applyBorder="1" applyAlignment="1">
      <alignment horizontal="center" vertical="center"/>
    </xf>
    <xf numFmtId="14" fontId="0" fillId="35" borderId="4" xfId="0" applyNumberFormat="1" applyFill="1" applyBorder="1" applyAlignment="1">
      <alignment horizontal="center" vertical="center"/>
    </xf>
    <xf numFmtId="44" fontId="0" fillId="35" borderId="4" xfId="1" applyNumberFormat="1" applyFont="1" applyFill="1" applyBorder="1" applyAlignment="1">
      <alignment horizontal="center" vertical="center"/>
    </xf>
    <xf numFmtId="44" fontId="0" fillId="35" borderId="5" xfId="1" applyNumberFormat="1" applyFont="1" applyFill="1" applyBorder="1" applyAlignment="1">
      <alignment horizontal="center" vertical="center"/>
    </xf>
    <xf numFmtId="164" fontId="0" fillId="35" borderId="4" xfId="1" applyNumberFormat="1" applyFont="1" applyFill="1" applyBorder="1" applyAlignment="1">
      <alignment horizontal="center" vertical="center" wrapText="1"/>
    </xf>
    <xf numFmtId="2" fontId="0" fillId="35" borderId="4" xfId="0" applyNumberFormat="1" applyFill="1" applyBorder="1" applyAlignment="1">
      <alignment horizontal="center" vertical="center"/>
    </xf>
    <xf numFmtId="44" fontId="0" fillId="35" borderId="4" xfId="2" applyFont="1" applyFill="1" applyBorder="1" applyAlignment="1">
      <alignment horizontal="center" vertical="center"/>
    </xf>
    <xf numFmtId="0" fontId="0" fillId="35" borderId="5" xfId="0" applyFill="1" applyBorder="1" applyAlignment="1">
      <alignment horizontal="center" vertical="center" wrapText="1"/>
    </xf>
    <xf numFmtId="0" fontId="0" fillId="35" borderId="5" xfId="0" applyFill="1" applyBorder="1" applyAlignment="1">
      <alignment horizontal="center" vertical="center"/>
    </xf>
    <xf numFmtId="44" fontId="0" fillId="33" borderId="4" xfId="0" applyNumberFormat="1" applyFill="1" applyBorder="1" applyAlignment="1">
      <alignment horizontal="center" vertical="center"/>
    </xf>
    <xf numFmtId="14" fontId="0" fillId="33" borderId="4" xfId="0" applyNumberFormat="1" applyFill="1" applyBorder="1" applyAlignment="1">
      <alignment horizontal="center" vertical="center"/>
    </xf>
    <xf numFmtId="44" fontId="0" fillId="33" borderId="4" xfId="1" applyNumberFormat="1" applyFont="1" applyFill="1" applyBorder="1" applyAlignment="1">
      <alignment horizontal="center" vertical="center"/>
    </xf>
    <xf numFmtId="44" fontId="0" fillId="33" borderId="4" xfId="2" applyFont="1" applyFill="1" applyBorder="1" applyAlignment="1">
      <alignment horizontal="center" vertical="center"/>
    </xf>
    <xf numFmtId="44" fontId="0" fillId="8" borderId="4" xfId="2" applyFont="1" applyFill="1" applyBorder="1" applyAlignment="1">
      <alignment horizontal="center" vertical="center" wrapText="1"/>
    </xf>
    <xf numFmtId="0" fontId="0" fillId="46" borderId="4" xfId="0" applyFill="1" applyBorder="1" applyAlignment="1">
      <alignment horizontal="center" vertical="center" wrapText="1"/>
    </xf>
    <xf numFmtId="44" fontId="0" fillId="46" borderId="4" xfId="0" applyNumberFormat="1" applyFill="1" applyBorder="1" applyAlignment="1">
      <alignment horizontal="center" vertical="center"/>
    </xf>
    <xf numFmtId="0" fontId="0" fillId="46" borderId="4" xfId="0" applyFill="1" applyBorder="1" applyAlignment="1">
      <alignment horizontal="center" vertical="center"/>
    </xf>
    <xf numFmtId="14" fontId="0" fillId="46" borderId="4" xfId="0" applyNumberFormat="1" applyFill="1" applyBorder="1" applyAlignment="1">
      <alignment horizontal="center" vertical="center"/>
    </xf>
    <xf numFmtId="44" fontId="0" fillId="46" borderId="4" xfId="2" applyFont="1" applyFill="1" applyBorder="1" applyAlignment="1">
      <alignment horizontal="center" vertical="center" wrapText="1"/>
    </xf>
    <xf numFmtId="44" fontId="0" fillId="46" borderId="4" xfId="1" applyNumberFormat="1" applyFont="1" applyFill="1" applyBorder="1" applyAlignment="1">
      <alignment horizontal="center" vertical="center"/>
    </xf>
    <xf numFmtId="44" fontId="0" fillId="46" borderId="5" xfId="1" applyNumberFormat="1" applyFont="1" applyFill="1" applyBorder="1" applyAlignment="1">
      <alignment horizontal="center" vertical="center"/>
    </xf>
    <xf numFmtId="164" fontId="0" fillId="46" borderId="4" xfId="1" applyNumberFormat="1" applyFont="1" applyFill="1" applyBorder="1" applyAlignment="1">
      <alignment horizontal="center" vertical="center" wrapText="1"/>
    </xf>
    <xf numFmtId="2" fontId="0" fillId="46" borderId="4" xfId="0" applyNumberFormat="1" applyFill="1" applyBorder="1" applyAlignment="1">
      <alignment horizontal="center" vertical="center"/>
    </xf>
    <xf numFmtId="44" fontId="0" fillId="46" borderId="4" xfId="2" applyFont="1" applyFill="1" applyBorder="1" applyAlignment="1">
      <alignment horizontal="center" vertical="center"/>
    </xf>
    <xf numFmtId="0" fontId="0" fillId="46" borderId="5" xfId="0" applyFill="1" applyBorder="1" applyAlignment="1">
      <alignment horizontal="center" vertical="center" wrapText="1"/>
    </xf>
    <xf numFmtId="0" fontId="0" fillId="46" borderId="5" xfId="0" applyFill="1" applyBorder="1" applyAlignment="1">
      <alignment horizontal="center" vertical="center"/>
    </xf>
    <xf numFmtId="44" fontId="0" fillId="6" borderId="4" xfId="0" applyNumberFormat="1" applyFill="1" applyBorder="1" applyAlignment="1">
      <alignment horizontal="center" vertical="center"/>
    </xf>
    <xf numFmtId="44" fontId="0" fillId="36" borderId="5" xfId="1" applyNumberFormat="1" applyFont="1" applyFill="1" applyBorder="1" applyAlignment="1">
      <alignment horizontal="right" vertical="center"/>
    </xf>
    <xf numFmtId="44" fontId="0" fillId="35" borderId="5" xfId="1" applyNumberFormat="1" applyFont="1" applyFill="1" applyBorder="1" applyAlignment="1">
      <alignment horizontal="right" vertical="center"/>
    </xf>
    <xf numFmtId="44" fontId="0" fillId="9" borderId="5" xfId="1" applyNumberFormat="1" applyFont="1" applyFill="1" applyBorder="1" applyAlignment="1">
      <alignment horizontal="center" vertical="center"/>
    </xf>
    <xf numFmtId="44" fontId="0" fillId="9" borderId="4" xfId="0" applyNumberFormat="1" applyFill="1" applyBorder="1" applyAlignment="1">
      <alignment horizontal="center" vertical="center"/>
    </xf>
    <xf numFmtId="164" fontId="0" fillId="9" borderId="4" xfId="1" applyNumberFormat="1" applyFont="1" applyFill="1" applyBorder="1" applyAlignment="1">
      <alignment horizontal="center" vertical="center" wrapText="1"/>
    </xf>
    <xf numFmtId="44" fontId="0" fillId="9" borderId="4" xfId="2" applyFont="1" applyFill="1" applyBorder="1" applyAlignment="1">
      <alignment horizontal="center" vertical="center"/>
    </xf>
    <xf numFmtId="44" fontId="0" fillId="9" borderId="4" xfId="1" applyNumberFormat="1" applyFont="1" applyFill="1" applyBorder="1" applyAlignment="1">
      <alignment horizontal="center" vertical="center"/>
    </xf>
    <xf numFmtId="164" fontId="0" fillId="10" borderId="4" xfId="1" applyNumberFormat="1" applyFont="1" applyFill="1" applyBorder="1" applyAlignment="1">
      <alignment horizontal="center" vertical="center" wrapText="1"/>
    </xf>
    <xf numFmtId="44" fontId="0" fillId="45" borderId="4" xfId="1" applyNumberFormat="1" applyFont="1" applyFill="1" applyBorder="1" applyAlignment="1">
      <alignment horizontal="center" vertical="center" wrapText="1"/>
    </xf>
    <xf numFmtId="44" fontId="0" fillId="45" borderId="4" xfId="0" applyNumberFormat="1" applyFill="1" applyBorder="1" applyAlignment="1">
      <alignment horizontal="center" vertical="center" wrapText="1"/>
    </xf>
    <xf numFmtId="0" fontId="0" fillId="45" borderId="0" xfId="0" applyFill="1" applyAlignment="1">
      <alignment horizontal="center" vertical="center" wrapText="1"/>
    </xf>
    <xf numFmtId="44" fontId="0" fillId="45" borderId="4" xfId="2" applyFont="1" applyFill="1" applyBorder="1" applyAlignment="1">
      <alignment horizontal="center" vertical="center" wrapText="1"/>
    </xf>
    <xf numFmtId="44" fontId="6" fillId="45" borderId="4" xfId="2" applyFont="1" applyFill="1" applyBorder="1" applyAlignment="1">
      <alignment horizontal="center" vertical="center" wrapText="1"/>
    </xf>
    <xf numFmtId="0" fontId="0" fillId="45" borderId="8" xfId="0" applyFill="1" applyBorder="1" applyAlignment="1">
      <alignment horizontal="center" vertical="center" wrapText="1"/>
    </xf>
    <xf numFmtId="44" fontId="0" fillId="45" borderId="0" xfId="1" applyNumberFormat="1" applyFont="1" applyFill="1"/>
    <xf numFmtId="44" fontId="0" fillId="45" borderId="0" xfId="1" applyNumberFormat="1" applyFont="1" applyFill="1" applyAlignment="1">
      <alignment horizontal="center" vertical="center"/>
    </xf>
    <xf numFmtId="14" fontId="0" fillId="45" borderId="0" xfId="0" applyNumberFormat="1" applyFill="1" applyAlignment="1">
      <alignment horizontal="center" vertical="center"/>
    </xf>
    <xf numFmtId="0" fontId="0" fillId="45" borderId="10" xfId="0" applyFill="1" applyBorder="1" applyAlignment="1">
      <alignment horizontal="center" vertical="center" wrapText="1"/>
    </xf>
    <xf numFmtId="0" fontId="0" fillId="45" borderId="14" xfId="0" applyFill="1" applyBorder="1" applyAlignment="1">
      <alignment horizontal="center" vertical="center" wrapText="1"/>
    </xf>
    <xf numFmtId="44" fontId="0" fillId="45" borderId="5" xfId="1" applyNumberFormat="1" applyFont="1" applyFill="1" applyBorder="1" applyAlignment="1">
      <alignment horizontal="center"/>
    </xf>
    <xf numFmtId="0" fontId="0" fillId="45" borderId="14" xfId="0" applyFill="1" applyBorder="1" applyAlignment="1">
      <alignment horizontal="center" vertical="center"/>
    </xf>
    <xf numFmtId="44" fontId="0" fillId="45" borderId="12" xfId="1" applyNumberFormat="1" applyFont="1" applyFill="1" applyBorder="1" applyAlignment="1">
      <alignment horizontal="center" vertical="center" wrapText="1"/>
    </xf>
    <xf numFmtId="14" fontId="0" fillId="45" borderId="12" xfId="0" applyNumberFormat="1" applyFill="1" applyBorder="1" applyAlignment="1">
      <alignment horizontal="center" vertical="center" wrapText="1"/>
    </xf>
    <xf numFmtId="0" fontId="0" fillId="45" borderId="12" xfId="0" applyFill="1" applyBorder="1" applyAlignment="1">
      <alignment horizontal="center" vertical="center" wrapText="1"/>
    </xf>
    <xf numFmtId="0" fontId="0" fillId="45" borderId="12" xfId="0" applyFill="1" applyBorder="1" applyAlignment="1">
      <alignment vertical="center" wrapText="1"/>
    </xf>
    <xf numFmtId="0" fontId="0" fillId="8" borderId="0" xfId="0" applyFill="1" applyAlignment="1">
      <alignment horizontal="center" vertical="center"/>
    </xf>
    <xf numFmtId="0" fontId="0" fillId="8" borderId="11" xfId="0" applyFill="1" applyBorder="1" applyAlignment="1">
      <alignment horizontal="center" vertical="center" wrapText="1"/>
    </xf>
    <xf numFmtId="44" fontId="0" fillId="8" borderId="12" xfId="1" applyNumberFormat="1" applyFont="1" applyFill="1" applyBorder="1" applyAlignment="1">
      <alignment horizontal="center" vertical="center"/>
    </xf>
    <xf numFmtId="14" fontId="0" fillId="8" borderId="12" xfId="0" applyNumberFormat="1" applyFill="1" applyBorder="1" applyAlignment="1">
      <alignment horizontal="center" vertical="center" wrapText="1"/>
    </xf>
    <xf numFmtId="44" fontId="0" fillId="8" borderId="4" xfId="1" applyNumberFormat="1" applyFont="1" applyFill="1" applyBorder="1" applyAlignment="1">
      <alignment horizontal="center" vertical="center" wrapText="1"/>
    </xf>
    <xf numFmtId="44" fontId="0" fillId="8" borderId="4" xfId="2" applyFont="1" applyFill="1" applyBorder="1" applyAlignment="1">
      <alignment vertical="center"/>
    </xf>
    <xf numFmtId="44" fontId="0" fillId="8" borderId="12" xfId="1" applyNumberFormat="1" applyFont="1" applyFill="1" applyBorder="1" applyAlignment="1">
      <alignment horizontal="center" vertical="center" wrapText="1"/>
    </xf>
    <xf numFmtId="44" fontId="0" fillId="8" borderId="12" xfId="1" applyNumberFormat="1" applyFont="1" applyFill="1" applyBorder="1"/>
    <xf numFmtId="44" fontId="0" fillId="8" borderId="4" xfId="1" applyNumberFormat="1" applyFont="1" applyFill="1" applyBorder="1"/>
    <xf numFmtId="44" fontId="0" fillId="41" borderId="4" xfId="1" applyNumberFormat="1" applyFont="1" applyFill="1" applyBorder="1" applyAlignment="1">
      <alignment horizontal="center" vertical="center" wrapText="1"/>
    </xf>
    <xf numFmtId="14" fontId="0" fillId="41" borderId="4" xfId="0" applyNumberFormat="1" applyFill="1" applyBorder="1" applyAlignment="1">
      <alignment horizontal="center" vertical="center" wrapText="1"/>
    </xf>
    <xf numFmtId="44" fontId="0" fillId="41" borderId="4" xfId="2" applyFont="1" applyFill="1" applyBorder="1" applyAlignment="1">
      <alignment horizontal="center" vertical="center"/>
    </xf>
    <xf numFmtId="44" fontId="0" fillId="41" borderId="4" xfId="1" applyNumberFormat="1" applyFont="1" applyFill="1" applyBorder="1" applyAlignment="1">
      <alignment horizontal="center" vertical="center"/>
    </xf>
    <xf numFmtId="44" fontId="0" fillId="41" borderId="4" xfId="1" applyNumberFormat="1" applyFont="1" applyFill="1" applyBorder="1"/>
    <xf numFmtId="0" fontId="0" fillId="41" borderId="4" xfId="0" applyFill="1" applyBorder="1"/>
    <xf numFmtId="2" fontId="0" fillId="41" borderId="4" xfId="0" applyNumberFormat="1" applyFill="1" applyBorder="1" applyAlignment="1">
      <alignment horizontal="center" vertical="center"/>
    </xf>
    <xf numFmtId="44" fontId="0" fillId="41" borderId="4" xfId="2" applyFont="1" applyFill="1" applyBorder="1" applyAlignment="1">
      <alignment horizontal="center" vertical="center" wrapText="1"/>
    </xf>
    <xf numFmtId="0" fontId="0" fillId="41" borderId="0" xfId="0" applyFill="1"/>
    <xf numFmtId="0" fontId="0" fillId="41" borderId="5" xfId="0" applyFill="1" applyBorder="1" applyAlignment="1">
      <alignment horizontal="center"/>
    </xf>
    <xf numFmtId="0" fontId="0" fillId="41" borderId="5" xfId="0" applyFill="1" applyBorder="1" applyAlignment="1">
      <alignment horizontal="center" vertical="center" wrapText="1"/>
    </xf>
    <xf numFmtId="44" fontId="0" fillId="41" borderId="5" xfId="1" applyNumberFormat="1" applyFont="1" applyFill="1" applyBorder="1" applyAlignment="1">
      <alignment horizontal="center"/>
    </xf>
    <xf numFmtId="14" fontId="0" fillId="6" borderId="4" xfId="0" applyNumberFormat="1" applyFill="1" applyBorder="1" applyAlignment="1">
      <alignment horizontal="center" vertical="center" wrapText="1"/>
    </xf>
    <xf numFmtId="2" fontId="0" fillId="6" borderId="4" xfId="0" applyNumberFormat="1" applyFill="1" applyBorder="1" applyAlignment="1">
      <alignment horizontal="center" vertical="center" wrapText="1"/>
    </xf>
    <xf numFmtId="167" fontId="0" fillId="6" borderId="4" xfId="2" applyNumberFormat="1" applyFont="1" applyFill="1" applyBorder="1" applyAlignment="1">
      <alignment horizontal="center" vertical="center" wrapText="1"/>
    </xf>
    <xf numFmtId="167" fontId="0" fillId="6" borderId="4" xfId="1" applyNumberFormat="1" applyFont="1" applyFill="1" applyBorder="1" applyAlignment="1">
      <alignment horizontal="center" vertical="center" wrapText="1"/>
    </xf>
    <xf numFmtId="0" fontId="0" fillId="6" borderId="0" xfId="0" applyFill="1" applyAlignment="1">
      <alignment horizontal="center" vertical="center" wrapText="1"/>
    </xf>
    <xf numFmtId="44" fontId="0" fillId="6" borderId="4" xfId="2" applyNumberFormat="1" applyFont="1" applyFill="1" applyBorder="1" applyAlignment="1">
      <alignment horizontal="center" vertical="center" wrapText="1"/>
    </xf>
    <xf numFmtId="165" fontId="0" fillId="6" borderId="4" xfId="0" applyNumberFormat="1" applyFill="1" applyBorder="1" applyAlignment="1">
      <alignment horizontal="center" vertical="center" wrapText="1"/>
    </xf>
    <xf numFmtId="167" fontId="0" fillId="6" borderId="4" xfId="0" applyNumberFormat="1" applyFill="1" applyBorder="1" applyAlignment="1">
      <alignment horizontal="center" vertical="center" wrapText="1"/>
    </xf>
    <xf numFmtId="0" fontId="0" fillId="6" borderId="4" xfId="0" applyFill="1" applyBorder="1"/>
    <xf numFmtId="44" fontId="0" fillId="6" borderId="4" xfId="0" applyNumberFormat="1" applyFill="1" applyBorder="1" applyAlignment="1">
      <alignment horizontal="center" vertical="center" wrapText="1"/>
    </xf>
    <xf numFmtId="0" fontId="0" fillId="6" borderId="8" xfId="0" applyFill="1" applyBorder="1" applyAlignment="1">
      <alignment horizontal="center" wrapText="1"/>
    </xf>
    <xf numFmtId="44" fontId="0" fillId="6" borderId="8" xfId="1" applyNumberFormat="1" applyFont="1" applyFill="1" applyBorder="1" applyAlignment="1">
      <alignment horizontal="center" vertical="center" wrapText="1"/>
    </xf>
    <xf numFmtId="0" fontId="0" fillId="6" borderId="8" xfId="0" applyFill="1" applyBorder="1" applyAlignment="1">
      <alignment horizontal="center"/>
    </xf>
    <xf numFmtId="44" fontId="0" fillId="4" borderId="0" xfId="1" applyNumberFormat="1" applyFont="1" applyFill="1" applyAlignment="1">
      <alignment horizontal="center" vertical="center"/>
    </xf>
    <xf numFmtId="44" fontId="0" fillId="4" borderId="0" xfId="2" applyFont="1" applyFill="1" applyAlignment="1">
      <alignment vertical="center"/>
    </xf>
    <xf numFmtId="13" fontId="0" fillId="4" borderId="4" xfId="0" applyNumberFormat="1" applyFill="1" applyBorder="1" applyAlignment="1">
      <alignment horizontal="center" vertical="center" wrapText="1"/>
    </xf>
    <xf numFmtId="44" fontId="0" fillId="4" borderId="5" xfId="1" applyNumberFormat="1" applyFont="1" applyFill="1" applyBorder="1" applyAlignment="1">
      <alignment horizontal="center" vertical="center" wrapText="1"/>
    </xf>
    <xf numFmtId="0" fontId="0" fillId="4" borderId="5" xfId="0" applyFill="1" applyBorder="1" applyAlignment="1">
      <alignment horizontal="center"/>
    </xf>
    <xf numFmtId="0" fontId="0" fillId="33" borderId="4" xfId="0" applyFill="1" applyBorder="1"/>
    <xf numFmtId="43" fontId="0" fillId="33" borderId="4" xfId="1" applyFont="1" applyFill="1" applyBorder="1" applyAlignment="1">
      <alignment vertical="center" wrapText="1"/>
    </xf>
    <xf numFmtId="44" fontId="0" fillId="33" borderId="4" xfId="1" applyNumberFormat="1" applyFont="1" applyFill="1" applyBorder="1"/>
    <xf numFmtId="44" fontId="0" fillId="34" borderId="4" xfId="2" applyFont="1" applyFill="1" applyBorder="1" applyAlignment="1">
      <alignment horizontal="center" vertical="center"/>
    </xf>
    <xf numFmtId="0" fontId="6" fillId="40" borderId="4" xfId="0" applyFont="1" applyFill="1" applyBorder="1" applyAlignment="1">
      <alignment horizontal="center" vertical="center"/>
    </xf>
    <xf numFmtId="0" fontId="6" fillId="40" borderId="4" xfId="0" applyFont="1" applyFill="1" applyBorder="1" applyAlignment="1">
      <alignment horizontal="center" vertical="center" wrapText="1"/>
    </xf>
    <xf numFmtId="44" fontId="6" fillId="40" borderId="4" xfId="2" applyNumberFormat="1" applyFont="1" applyFill="1" applyBorder="1" applyAlignment="1">
      <alignment horizontal="center" vertical="center" wrapText="1"/>
    </xf>
    <xf numFmtId="44" fontId="6" fillId="40" borderId="4" xfId="1" applyNumberFormat="1" applyFont="1" applyFill="1" applyBorder="1" applyAlignment="1">
      <alignment horizontal="center" vertical="center" wrapText="1"/>
    </xf>
    <xf numFmtId="14" fontId="6" fillId="40" borderId="4" xfId="0" applyNumberFormat="1" applyFont="1" applyFill="1" applyBorder="1" applyAlignment="1">
      <alignment horizontal="center" vertical="center"/>
    </xf>
    <xf numFmtId="44" fontId="6" fillId="40" borderId="4" xfId="1" applyNumberFormat="1" applyFont="1" applyFill="1" applyBorder="1" applyAlignment="1">
      <alignment horizontal="center" vertical="center"/>
    </xf>
    <xf numFmtId="44" fontId="6" fillId="40" borderId="4" xfId="2" applyFont="1" applyFill="1" applyBorder="1" applyAlignment="1">
      <alignment horizontal="center" vertical="center"/>
    </xf>
    <xf numFmtId="0" fontId="0" fillId="43" borderId="4" xfId="0" applyFont="1" applyFill="1" applyBorder="1" applyAlignment="1">
      <alignment horizontal="center" vertical="center" wrapText="1"/>
    </xf>
    <xf numFmtId="14" fontId="0" fillId="43" borderId="4" xfId="0" applyNumberFormat="1" applyFont="1" applyFill="1" applyBorder="1" applyAlignment="1">
      <alignment horizontal="center" vertical="center" wrapText="1"/>
    </xf>
    <xf numFmtId="44" fontId="0" fillId="43" borderId="4" xfId="0" applyNumberFormat="1" applyFont="1" applyFill="1" applyBorder="1" applyAlignment="1">
      <alignment horizontal="center" vertical="center" wrapText="1"/>
    </xf>
    <xf numFmtId="14" fontId="0" fillId="39" borderId="4" xfId="0" applyNumberFormat="1" applyFont="1" applyFill="1" applyBorder="1" applyAlignment="1">
      <alignment horizontal="center" vertical="center" wrapText="1"/>
    </xf>
    <xf numFmtId="2" fontId="0" fillId="39" borderId="4" xfId="0" applyNumberFormat="1" applyFill="1" applyBorder="1" applyAlignment="1">
      <alignment horizontal="center" vertical="center" wrapText="1"/>
    </xf>
    <xf numFmtId="0" fontId="6" fillId="39" borderId="4" xfId="0" applyFont="1" applyFill="1" applyBorder="1" applyAlignment="1">
      <alignment horizontal="center" vertical="center" wrapText="1"/>
    </xf>
    <xf numFmtId="43" fontId="0" fillId="39" borderId="4" xfId="1" applyFont="1" applyFill="1" applyBorder="1" applyAlignment="1">
      <alignment horizontal="center" vertical="center" wrapText="1"/>
    </xf>
    <xf numFmtId="44" fontId="0" fillId="39" borderId="4" xfId="0" applyNumberFormat="1" applyFill="1" applyBorder="1" applyAlignment="1">
      <alignment horizontal="center" vertical="center" wrapText="1"/>
    </xf>
    <xf numFmtId="166" fontId="0" fillId="39" borderId="4" xfId="0" applyNumberFormat="1" applyFill="1" applyBorder="1" applyAlignment="1">
      <alignment horizontal="center" vertical="center" wrapText="1"/>
    </xf>
    <xf numFmtId="43" fontId="0" fillId="44" borderId="4" xfId="1" applyFont="1" applyFill="1" applyBorder="1" applyAlignment="1">
      <alignment horizontal="center" vertical="center" wrapText="1"/>
    </xf>
    <xf numFmtId="44" fontId="0" fillId="44" borderId="4" xfId="1" applyNumberFormat="1" applyFont="1" applyFill="1" applyBorder="1" applyAlignment="1">
      <alignment horizontal="center" vertical="center" wrapText="1"/>
    </xf>
    <xf numFmtId="14" fontId="0" fillId="44" borderId="4" xfId="0" applyNumberFormat="1" applyFill="1" applyBorder="1" applyAlignment="1">
      <alignment horizontal="center" vertical="center" wrapText="1"/>
    </xf>
    <xf numFmtId="44" fontId="0" fillId="44" borderId="4" xfId="2" applyFont="1" applyFill="1" applyBorder="1" applyAlignment="1">
      <alignment horizontal="center" vertical="center" wrapText="1"/>
    </xf>
    <xf numFmtId="43" fontId="0" fillId="38" borderId="4" xfId="1" applyFont="1" applyFill="1" applyBorder="1" applyAlignment="1">
      <alignment horizontal="center" vertical="center" wrapText="1"/>
    </xf>
    <xf numFmtId="43" fontId="0" fillId="38" borderId="4" xfId="0" applyNumberFormat="1" applyFill="1" applyBorder="1" applyAlignment="1">
      <alignment horizontal="center" vertical="center" wrapText="1"/>
    </xf>
    <xf numFmtId="0" fontId="0" fillId="47" borderId="4" xfId="0" applyFill="1" applyBorder="1" applyAlignment="1">
      <alignment horizontal="center" vertical="center" wrapText="1"/>
    </xf>
    <xf numFmtId="43" fontId="0" fillId="47" borderId="4" xfId="1" applyFont="1" applyFill="1" applyBorder="1" applyAlignment="1">
      <alignment horizontal="center" vertical="center" wrapText="1"/>
    </xf>
    <xf numFmtId="44" fontId="0" fillId="47" borderId="4" xfId="1" applyNumberFormat="1" applyFont="1" applyFill="1" applyBorder="1" applyAlignment="1">
      <alignment horizontal="center" vertical="center" wrapText="1"/>
    </xf>
    <xf numFmtId="14" fontId="0" fillId="47" borderId="4" xfId="0" applyNumberFormat="1" applyFill="1" applyBorder="1" applyAlignment="1">
      <alignment horizontal="center" vertical="center" wrapText="1"/>
    </xf>
    <xf numFmtId="44" fontId="0" fillId="47" borderId="4" xfId="2" applyFont="1" applyFill="1" applyBorder="1" applyAlignment="1">
      <alignment horizontal="center" vertical="center" wrapText="1"/>
    </xf>
    <xf numFmtId="43" fontId="0" fillId="47" borderId="4" xfId="0" applyNumberFormat="1" applyFill="1" applyBorder="1" applyAlignment="1">
      <alignment horizontal="center" vertical="center" wrapText="1"/>
    </xf>
    <xf numFmtId="0" fontId="0" fillId="48" borderId="4" xfId="0" applyFill="1" applyBorder="1" applyAlignment="1">
      <alignment horizontal="center" vertical="center"/>
    </xf>
    <xf numFmtId="0" fontId="0" fillId="48" borderId="4" xfId="0" applyFill="1" applyBorder="1" applyAlignment="1">
      <alignment horizontal="center" vertical="center" wrapText="1"/>
    </xf>
    <xf numFmtId="44" fontId="0" fillId="48" borderId="4" xfId="0" applyNumberFormat="1" applyFill="1" applyBorder="1" applyAlignment="1">
      <alignment horizontal="center" vertical="center"/>
    </xf>
    <xf numFmtId="0" fontId="0" fillId="48" borderId="4" xfId="0" applyFill="1" applyBorder="1"/>
    <xf numFmtId="0" fontId="0" fillId="49" borderId="4" xfId="0" applyFont="1" applyFill="1" applyBorder="1" applyAlignment="1">
      <alignment horizontal="center" vertical="center" wrapText="1"/>
    </xf>
    <xf numFmtId="0" fontId="8" fillId="49" borderId="0" xfId="0" applyFont="1" applyFill="1" applyAlignment="1">
      <alignment horizontal="center" vertical="center" wrapText="1"/>
    </xf>
    <xf numFmtId="44" fontId="0" fillId="49" borderId="4" xfId="0" applyNumberFormat="1" applyFont="1" applyFill="1" applyBorder="1" applyAlignment="1">
      <alignment horizontal="center" vertical="center" wrapText="1"/>
    </xf>
    <xf numFmtId="14" fontId="0" fillId="49" borderId="4" xfId="0" applyNumberFormat="1" applyFont="1" applyFill="1" applyBorder="1" applyAlignment="1">
      <alignment horizontal="center" vertical="center" wrapText="1"/>
    </xf>
    <xf numFmtId="2" fontId="0" fillId="49" borderId="4" xfId="0" applyNumberFormat="1" applyFont="1" applyFill="1" applyBorder="1" applyAlignment="1">
      <alignment horizontal="center" vertical="center"/>
    </xf>
    <xf numFmtId="0" fontId="8" fillId="49" borderId="4" xfId="0" applyFont="1" applyFill="1" applyBorder="1" applyAlignment="1">
      <alignment horizontal="center" vertical="center" wrapText="1"/>
    </xf>
    <xf numFmtId="168" fontId="0" fillId="49" borderId="4" xfId="0" applyNumberFormat="1" applyFont="1" applyFill="1" applyBorder="1" applyAlignment="1">
      <alignment horizontal="center" vertical="center" wrapText="1"/>
    </xf>
    <xf numFmtId="0" fontId="0" fillId="49" borderId="0" xfId="0" applyFill="1" applyBorder="1" applyAlignment="1">
      <alignment horizontal="center" vertical="center" wrapText="1"/>
    </xf>
    <xf numFmtId="0" fontId="8" fillId="43" borderId="0" xfId="0" applyFont="1" applyFill="1" applyAlignment="1">
      <alignment horizontal="center" vertical="center" wrapText="1"/>
    </xf>
    <xf numFmtId="14" fontId="0" fillId="43" borderId="4" xfId="0" applyNumberFormat="1" applyFont="1" applyFill="1" applyBorder="1" applyAlignment="1">
      <alignment horizontal="center" vertical="center"/>
    </xf>
    <xf numFmtId="44" fontId="0" fillId="43" borderId="4" xfId="0" applyNumberFormat="1" applyFont="1" applyFill="1" applyBorder="1" applyAlignment="1">
      <alignment horizontal="center" vertical="center"/>
    </xf>
    <xf numFmtId="2" fontId="0" fillId="43" borderId="4" xfId="0" applyNumberFormat="1" applyFont="1" applyFill="1" applyBorder="1" applyAlignment="1">
      <alignment horizontal="center" vertical="center"/>
    </xf>
    <xf numFmtId="0" fontId="8" fillId="43" borderId="4" xfId="0" applyFont="1" applyFill="1" applyBorder="1" applyAlignment="1">
      <alignment horizontal="center" vertical="center" wrapText="1"/>
    </xf>
    <xf numFmtId="165" fontId="0" fillId="43" borderId="4" xfId="0" applyNumberFormat="1" applyFont="1" applyFill="1" applyBorder="1" applyAlignment="1">
      <alignment horizontal="center" vertical="center" wrapText="1"/>
    </xf>
    <xf numFmtId="0" fontId="0" fillId="43" borderId="0" xfId="0" applyFill="1" applyAlignment="1">
      <alignment horizontal="center" vertical="center" wrapText="1"/>
    </xf>
    <xf numFmtId="14" fontId="0" fillId="43" borderId="4" xfId="0" applyNumberFormat="1" applyFill="1" applyBorder="1" applyAlignment="1">
      <alignment vertical="center"/>
    </xf>
    <xf numFmtId="0" fontId="0" fillId="43" borderId="4" xfId="0" applyFill="1" applyBorder="1"/>
    <xf numFmtId="0" fontId="0" fillId="43" borderId="0" xfId="0" applyFill="1" applyBorder="1" applyAlignment="1">
      <alignment horizontal="center" vertical="center"/>
    </xf>
    <xf numFmtId="0" fontId="0" fillId="43" borderId="0" xfId="0" applyFill="1" applyBorder="1" applyAlignment="1">
      <alignment horizontal="center" vertical="center" wrapText="1"/>
    </xf>
    <xf numFmtId="0" fontId="0" fillId="43" borderId="4" xfId="0" applyFont="1" applyFill="1" applyBorder="1" applyAlignment="1">
      <alignment horizontal="center" wrapText="1"/>
    </xf>
    <xf numFmtId="44" fontId="0" fillId="43" borderId="8" xfId="0" applyNumberFormat="1" applyFont="1" applyFill="1" applyBorder="1" applyAlignment="1">
      <alignment horizontal="center" vertical="center" wrapText="1"/>
    </xf>
    <xf numFmtId="14" fontId="0" fillId="43" borderId="0" xfId="0" applyNumberFormat="1" applyFont="1" applyFill="1" applyBorder="1" applyAlignment="1">
      <alignment horizontal="center" vertical="center"/>
    </xf>
    <xf numFmtId="14" fontId="0" fillId="43" borderId="0" xfId="0" applyNumberFormat="1" applyFill="1" applyBorder="1" applyAlignment="1">
      <alignment vertical="center"/>
    </xf>
    <xf numFmtId="0" fontId="0" fillId="43" borderId="0" xfId="0" applyFill="1" applyBorder="1"/>
    <xf numFmtId="44" fontId="0" fillId="43" borderId="0" xfId="0" applyNumberFormat="1" applyFont="1" applyFill="1" applyBorder="1" applyAlignment="1">
      <alignment horizontal="center" vertical="center" wrapText="1"/>
    </xf>
    <xf numFmtId="44" fontId="0" fillId="43" borderId="0" xfId="0" applyNumberFormat="1" applyFont="1" applyFill="1" applyBorder="1" applyAlignment="1">
      <alignment horizontal="center" vertical="center"/>
    </xf>
    <xf numFmtId="165" fontId="0" fillId="43" borderId="0" xfId="0" applyNumberFormat="1" applyFont="1" applyFill="1" applyBorder="1" applyAlignment="1">
      <alignment horizontal="center" vertical="center" wrapText="1"/>
    </xf>
    <xf numFmtId="0" fontId="0" fillId="43" borderId="0" xfId="0" applyFont="1" applyFill="1" applyBorder="1" applyAlignment="1">
      <alignment horizontal="center" vertical="center" wrapText="1"/>
    </xf>
    <xf numFmtId="0" fontId="0" fillId="43" borderId="0" xfId="0" applyFont="1" applyFill="1" applyBorder="1" applyAlignment="1">
      <alignment horizontal="center" vertical="center"/>
    </xf>
    <xf numFmtId="2" fontId="0" fillId="6" borderId="4" xfId="0" applyNumberFormat="1" applyFont="1" applyFill="1" applyBorder="1" applyAlignment="1">
      <alignment horizontal="center" vertical="center"/>
    </xf>
    <xf numFmtId="0" fontId="0" fillId="50" borderId="4" xfId="0" applyFont="1" applyFill="1" applyBorder="1" applyAlignment="1">
      <alignment horizontal="center" vertical="center" wrapText="1"/>
    </xf>
    <xf numFmtId="0" fontId="0" fillId="50" borderId="4" xfId="0" applyFont="1" applyFill="1" applyBorder="1" applyAlignment="1">
      <alignment horizontal="center" wrapText="1"/>
    </xf>
    <xf numFmtId="44" fontId="0" fillId="50" borderId="4" xfId="0" applyNumberFormat="1" applyFont="1" applyFill="1" applyBorder="1" applyAlignment="1">
      <alignment horizontal="center" vertical="center"/>
    </xf>
    <xf numFmtId="0" fontId="0" fillId="50" borderId="4" xfId="0" applyFill="1" applyBorder="1" applyAlignment="1">
      <alignment horizontal="center" vertical="center"/>
    </xf>
    <xf numFmtId="14" fontId="0" fillId="50" borderId="4" xfId="0" applyNumberFormat="1" applyFill="1" applyBorder="1" applyAlignment="1">
      <alignment horizontal="center" vertical="center"/>
    </xf>
    <xf numFmtId="0" fontId="0" fillId="50" borderId="4" xfId="0" applyFill="1" applyBorder="1" applyAlignment="1">
      <alignment horizontal="center" vertical="center" wrapText="1"/>
    </xf>
    <xf numFmtId="44" fontId="0" fillId="50" borderId="4" xfId="0" applyNumberFormat="1" applyFill="1" applyBorder="1" applyAlignment="1">
      <alignment horizontal="center" vertical="center"/>
    </xf>
    <xf numFmtId="2" fontId="0" fillId="50" borderId="4" xfId="0" applyNumberFormat="1" applyFont="1" applyFill="1" applyBorder="1" applyAlignment="1">
      <alignment horizontal="center" vertical="center"/>
    </xf>
    <xf numFmtId="0" fontId="0" fillId="50" borderId="0" xfId="0" applyFill="1" applyAlignment="1">
      <alignment horizontal="center" vertical="center" wrapText="1"/>
    </xf>
    <xf numFmtId="0" fontId="0" fillId="50" borderId="8" xfId="0" applyFont="1" applyFill="1" applyBorder="1" applyAlignment="1">
      <alignment horizontal="center" vertical="center" wrapText="1"/>
    </xf>
    <xf numFmtId="0" fontId="0" fillId="50" borderId="4" xfId="0" applyFont="1" applyFill="1" applyBorder="1" applyAlignment="1">
      <alignment horizontal="center" vertical="center"/>
    </xf>
    <xf numFmtId="14" fontId="0" fillId="50" borderId="4" xfId="0" applyNumberFormat="1" applyFont="1" applyFill="1" applyBorder="1" applyAlignment="1">
      <alignment horizontal="center" vertical="center"/>
    </xf>
    <xf numFmtId="14" fontId="0" fillId="50" borderId="4" xfId="0" applyNumberFormat="1" applyFont="1" applyFill="1" applyBorder="1" applyAlignment="1">
      <alignment horizontal="center" vertical="center" wrapText="1"/>
    </xf>
    <xf numFmtId="44" fontId="0" fillId="50" borderId="4" xfId="0" applyNumberFormat="1" applyFont="1" applyFill="1" applyBorder="1" applyAlignment="1">
      <alignment horizontal="center" vertical="center" wrapText="1"/>
    </xf>
    <xf numFmtId="165" fontId="0" fillId="50" borderId="4" xfId="0" applyNumberFormat="1" applyFont="1" applyFill="1" applyBorder="1" applyAlignment="1">
      <alignment horizontal="center" vertical="center" wrapText="1"/>
    </xf>
    <xf numFmtId="0" fontId="0" fillId="50" borderId="7" xfId="0" applyFill="1" applyBorder="1" applyAlignment="1">
      <alignment horizontal="center" vertical="center" wrapText="1"/>
    </xf>
    <xf numFmtId="0" fontId="0" fillId="50" borderId="4" xfId="0" applyFill="1" applyBorder="1"/>
    <xf numFmtId="44" fontId="0" fillId="50" borderId="4" xfId="0" applyNumberFormat="1" applyFill="1" applyBorder="1"/>
    <xf numFmtId="2" fontId="0" fillId="8" borderId="4" xfId="0" applyNumberFormat="1" applyFont="1" applyFill="1" applyBorder="1" applyAlignment="1">
      <alignment horizontal="center" vertical="center"/>
    </xf>
    <xf numFmtId="0" fontId="0" fillId="8" borderId="4" xfId="0" applyFill="1" applyBorder="1" applyAlignment="1">
      <alignment vertical="center"/>
    </xf>
    <xf numFmtId="0" fontId="0" fillId="8" borderId="4" xfId="0" applyFill="1" applyBorder="1" applyAlignment="1"/>
    <xf numFmtId="43" fontId="0" fillId="8" borderId="8" xfId="1" applyFont="1" applyFill="1" applyBorder="1" applyAlignment="1">
      <alignment horizontal="center" vertical="center" wrapText="1"/>
    </xf>
    <xf numFmtId="0" fontId="0" fillId="8" borderId="8" xfId="0" applyFill="1" applyBorder="1" applyAlignment="1">
      <alignment horizontal="center"/>
    </xf>
    <xf numFmtId="0" fontId="0" fillId="8" borderId="4" xfId="0" applyFill="1" applyBorder="1" applyAlignment="1">
      <alignment horizontal="center" vertical="top" wrapText="1"/>
    </xf>
    <xf numFmtId="0" fontId="0" fillId="8" borderId="0" xfId="0" applyFill="1"/>
    <xf numFmtId="44" fontId="0" fillId="8" borderId="0" xfId="0" applyNumberFormat="1" applyFill="1"/>
    <xf numFmtId="0" fontId="0" fillId="37" borderId="8" xfId="0" applyFill="1" applyBorder="1" applyAlignment="1">
      <alignment horizontal="center" vertical="center"/>
    </xf>
    <xf numFmtId="0" fontId="0" fillId="37" borderId="7" xfId="0" applyFill="1" applyBorder="1" applyAlignment="1">
      <alignment horizontal="center" vertical="center"/>
    </xf>
    <xf numFmtId="0" fontId="0" fillId="37" borderId="7" xfId="0" applyFill="1" applyBorder="1" applyAlignment="1">
      <alignment horizontal="center"/>
    </xf>
    <xf numFmtId="0" fontId="0" fillId="37" borderId="13" xfId="0" applyFill="1" applyBorder="1" applyAlignment="1">
      <alignment horizontal="center" vertical="center" wrapText="1"/>
    </xf>
    <xf numFmtId="43" fontId="0" fillId="37" borderId="8" xfId="1" applyFont="1" applyFill="1" applyBorder="1" applyAlignment="1">
      <alignment horizontal="center" vertical="center" wrapText="1"/>
    </xf>
    <xf numFmtId="0" fontId="0" fillId="37" borderId="19" xfId="0" applyFill="1" applyBorder="1" applyAlignment="1">
      <alignment horizontal="center" vertical="center" wrapText="1"/>
    </xf>
    <xf numFmtId="0" fontId="0" fillId="37" borderId="0" xfId="0" applyFill="1" applyBorder="1" applyAlignment="1">
      <alignment horizontal="center" vertical="center" wrapText="1"/>
    </xf>
    <xf numFmtId="44" fontId="0" fillId="37" borderId="0" xfId="1" applyNumberFormat="1" applyFont="1" applyFill="1" applyBorder="1" applyAlignment="1">
      <alignment horizontal="center" vertical="center" wrapText="1"/>
    </xf>
    <xf numFmtId="44" fontId="0" fillId="37" borderId="0" xfId="2" applyFont="1" applyFill="1" applyBorder="1" applyAlignment="1">
      <alignment horizontal="center" vertical="center" wrapText="1"/>
    </xf>
    <xf numFmtId="2" fontId="0" fillId="37" borderId="7" xfId="0" applyNumberFormat="1" applyFont="1" applyFill="1" applyBorder="1" applyAlignment="1">
      <alignment horizontal="center" vertical="center"/>
    </xf>
    <xf numFmtId="43" fontId="0" fillId="6" borderId="4" xfId="1" applyFont="1" applyFill="1" applyBorder="1" applyAlignment="1">
      <alignment horizontal="center" vertical="center" wrapText="1"/>
    </xf>
    <xf numFmtId="0" fontId="0" fillId="51" borderId="4" xfId="0" applyFill="1" applyBorder="1" applyAlignment="1">
      <alignment horizontal="center" vertical="center"/>
    </xf>
    <xf numFmtId="0" fontId="0" fillId="51" borderId="21" xfId="0" applyFill="1" applyBorder="1" applyAlignment="1">
      <alignment horizontal="center" vertical="center" wrapText="1"/>
    </xf>
    <xf numFmtId="0" fontId="0" fillId="51" borderId="4" xfId="0" applyFill="1" applyBorder="1" applyAlignment="1">
      <alignment horizontal="center" vertical="center" wrapText="1"/>
    </xf>
    <xf numFmtId="44" fontId="0" fillId="51" borderId="4" xfId="1" applyNumberFormat="1" applyFont="1" applyFill="1" applyBorder="1" applyAlignment="1">
      <alignment horizontal="center" vertical="center" wrapText="1"/>
    </xf>
    <xf numFmtId="14" fontId="0" fillId="51" borderId="4" xfId="0" applyNumberFormat="1" applyFill="1" applyBorder="1" applyAlignment="1">
      <alignment horizontal="center" vertical="center" wrapText="1"/>
    </xf>
    <xf numFmtId="44" fontId="0" fillId="51" borderId="4" xfId="2" applyFont="1" applyFill="1" applyBorder="1" applyAlignment="1">
      <alignment horizontal="center" vertical="center" wrapText="1"/>
    </xf>
    <xf numFmtId="2" fontId="0" fillId="51" borderId="4" xfId="0" applyNumberFormat="1" applyFont="1" applyFill="1" applyBorder="1" applyAlignment="1">
      <alignment horizontal="center" vertical="center"/>
    </xf>
    <xf numFmtId="0" fontId="0" fillId="51" borderId="4" xfId="0" applyFill="1" applyBorder="1"/>
    <xf numFmtId="43" fontId="0" fillId="51" borderId="4" xfId="1" applyFont="1" applyFill="1" applyBorder="1" applyAlignment="1">
      <alignment horizontal="center" vertical="center" wrapText="1"/>
    </xf>
    <xf numFmtId="0" fontId="0" fillId="51" borderId="4" xfId="0" applyFill="1" applyBorder="1" applyAlignment="1"/>
    <xf numFmtId="0" fontId="0" fillId="51" borderId="0" xfId="0" applyFill="1"/>
    <xf numFmtId="44" fontId="0" fillId="51" borderId="0" xfId="0" applyNumberFormat="1" applyFill="1"/>
    <xf numFmtId="0" fontId="0" fillId="52" borderId="4" xfId="0" applyFill="1" applyBorder="1" applyAlignment="1">
      <alignment horizontal="center" vertical="center" wrapText="1"/>
    </xf>
    <xf numFmtId="44" fontId="0" fillId="52" borderId="4" xfId="1" applyNumberFormat="1" applyFont="1" applyFill="1" applyBorder="1" applyAlignment="1">
      <alignment horizontal="center" vertical="center" wrapText="1"/>
    </xf>
    <xf numFmtId="14" fontId="0" fillId="52" borderId="4" xfId="0" applyNumberFormat="1" applyFill="1" applyBorder="1" applyAlignment="1">
      <alignment horizontal="center" vertical="center" wrapText="1"/>
    </xf>
    <xf numFmtId="44" fontId="0" fillId="52" borderId="4" xfId="2" applyFont="1" applyFill="1" applyBorder="1" applyAlignment="1">
      <alignment horizontal="center" vertical="center" wrapText="1"/>
    </xf>
    <xf numFmtId="2" fontId="0" fillId="52" borderId="4" xfId="0" applyNumberFormat="1" applyFont="1" applyFill="1" applyBorder="1" applyAlignment="1">
      <alignment horizontal="center" vertical="center"/>
    </xf>
    <xf numFmtId="0" fontId="0" fillId="52" borderId="4" xfId="0" applyFill="1" applyBorder="1"/>
    <xf numFmtId="44" fontId="0" fillId="52" borderId="4" xfId="0" applyNumberFormat="1" applyFill="1" applyBorder="1"/>
    <xf numFmtId="14" fontId="0" fillId="37" borderId="4" xfId="0" applyNumberFormat="1" applyFill="1" applyBorder="1" applyAlignment="1">
      <alignment horizontal="center" vertical="center"/>
    </xf>
    <xf numFmtId="0" fontId="0" fillId="39" borderId="4" xfId="0" applyFill="1" applyBorder="1" applyAlignment="1">
      <alignment horizontal="center" vertical="center"/>
    </xf>
    <xf numFmtId="44" fontId="0" fillId="39" borderId="4" xfId="2" applyFont="1" applyFill="1" applyBorder="1" applyAlignment="1">
      <alignment horizontal="center" vertical="center"/>
    </xf>
    <xf numFmtId="14" fontId="0" fillId="39" borderId="4" xfId="0" applyNumberFormat="1" applyFill="1" applyBorder="1" applyAlignment="1">
      <alignment horizontal="center" vertical="center"/>
    </xf>
    <xf numFmtId="44" fontId="0" fillId="39" borderId="4" xfId="0" applyNumberFormat="1" applyFill="1" applyBorder="1" applyAlignment="1">
      <alignment horizontal="center" vertical="center"/>
    </xf>
    <xf numFmtId="0" fontId="0" fillId="39" borderId="4" xfId="0" applyFill="1" applyBorder="1"/>
    <xf numFmtId="44" fontId="0" fillId="39" borderId="4" xfId="0" applyNumberFormat="1" applyFill="1" applyBorder="1"/>
    <xf numFmtId="169" fontId="0" fillId="39" borderId="4" xfId="0" applyNumberFormat="1" applyFill="1" applyBorder="1"/>
    <xf numFmtId="44" fontId="0" fillId="5" borderId="4" xfId="1" applyNumberFormat="1" applyFont="1" applyFill="1" applyBorder="1" applyAlignment="1">
      <alignment horizontal="center" vertical="center" wrapText="1"/>
    </xf>
    <xf numFmtId="14" fontId="0" fillId="5" borderId="4" xfId="0" applyNumberFormat="1" applyFill="1" applyBorder="1" applyAlignment="1">
      <alignment horizontal="center" vertical="center" wrapText="1"/>
    </xf>
    <xf numFmtId="44" fontId="0" fillId="5" borderId="4" xfId="2" applyFont="1" applyFill="1" applyBorder="1" applyAlignment="1">
      <alignment horizontal="center" vertical="center" wrapText="1"/>
    </xf>
    <xf numFmtId="0" fontId="0" fillId="53" borderId="4" xfId="0" applyFill="1" applyBorder="1" applyAlignment="1">
      <alignment horizontal="center" vertical="center" wrapText="1"/>
    </xf>
    <xf numFmtId="44" fontId="0" fillId="53" borderId="4" xfId="0" applyNumberFormat="1" applyFill="1" applyBorder="1" applyAlignment="1">
      <alignment horizontal="center" vertical="center" wrapText="1"/>
    </xf>
    <xf numFmtId="14" fontId="0" fillId="53" borderId="4" xfId="0" applyNumberFormat="1" applyFill="1" applyBorder="1" applyAlignment="1">
      <alignment horizontal="center" vertical="center" wrapText="1"/>
    </xf>
    <xf numFmtId="2" fontId="0" fillId="53" borderId="4" xfId="0" applyNumberFormat="1" applyFill="1" applyBorder="1" applyAlignment="1">
      <alignment horizontal="center" vertical="center" wrapText="1"/>
    </xf>
    <xf numFmtId="44" fontId="0" fillId="9" borderId="4" xfId="0" applyNumberFormat="1" applyFill="1" applyBorder="1" applyAlignment="1">
      <alignment horizontal="center" vertical="center" wrapText="1"/>
    </xf>
    <xf numFmtId="0" fontId="0" fillId="54" borderId="4" xfId="0" applyFill="1" applyBorder="1" applyAlignment="1">
      <alignment horizontal="center" vertical="center" wrapText="1"/>
    </xf>
    <xf numFmtId="44" fontId="0" fillId="54" borderId="4" xfId="0" applyNumberFormat="1" applyFill="1" applyBorder="1" applyAlignment="1">
      <alignment horizontal="center" vertical="center" wrapText="1"/>
    </xf>
    <xf numFmtId="44" fontId="0" fillId="54" borderId="4" xfId="2" applyFont="1" applyFill="1" applyBorder="1" applyAlignment="1">
      <alignment horizontal="center" vertical="center" wrapText="1"/>
    </xf>
    <xf numFmtId="14" fontId="0" fillId="54" borderId="4" xfId="0" applyNumberFormat="1" applyFill="1" applyBorder="1" applyAlignment="1">
      <alignment horizontal="center" vertical="center" wrapText="1"/>
    </xf>
    <xf numFmtId="2" fontId="0" fillId="54" borderId="4" xfId="0" applyNumberFormat="1" applyFill="1" applyBorder="1" applyAlignment="1">
      <alignment horizontal="center" vertical="center" wrapText="1"/>
    </xf>
    <xf numFmtId="0" fontId="0" fillId="39" borderId="12" xfId="0" applyFill="1" applyBorder="1" applyAlignment="1">
      <alignment horizontal="center" vertical="center"/>
    </xf>
    <xf numFmtId="44" fontId="0" fillId="39" borderId="12" xfId="0" applyNumberFormat="1" applyFill="1" applyBorder="1" applyAlignment="1">
      <alignment horizontal="center" vertical="center"/>
    </xf>
    <xf numFmtId="0" fontId="0" fillId="39" borderId="12" xfId="0" applyFill="1" applyBorder="1" applyAlignment="1">
      <alignment horizontal="center" vertical="center" wrapText="1"/>
    </xf>
    <xf numFmtId="0" fontId="0" fillId="49" borderId="4" xfId="0" applyFill="1" applyBorder="1" applyAlignment="1">
      <alignment horizontal="center" vertical="center" wrapText="1"/>
    </xf>
    <xf numFmtId="0" fontId="0" fillId="49" borderId="12" xfId="0" applyFill="1" applyBorder="1" applyAlignment="1">
      <alignment horizontal="center" vertical="center"/>
    </xf>
    <xf numFmtId="44" fontId="0" fillId="49" borderId="12" xfId="0" applyNumberFormat="1" applyFill="1" applyBorder="1" applyAlignment="1">
      <alignment horizontal="center" vertical="center"/>
    </xf>
    <xf numFmtId="0" fontId="0" fillId="49" borderId="12" xfId="0" applyFill="1" applyBorder="1" applyAlignment="1">
      <alignment horizontal="center" vertical="center" wrapText="1"/>
    </xf>
    <xf numFmtId="44" fontId="0" fillId="49" borderId="4" xfId="0" applyNumberFormat="1" applyFill="1" applyBorder="1" applyAlignment="1">
      <alignment horizontal="center" vertical="center"/>
    </xf>
    <xf numFmtId="0" fontId="0" fillId="49" borderId="4" xfId="0" applyFill="1" applyBorder="1" applyAlignment="1">
      <alignment horizontal="center" vertical="center"/>
    </xf>
    <xf numFmtId="14" fontId="0" fillId="49" borderId="4" xfId="0" applyNumberFormat="1" applyFill="1" applyBorder="1" applyAlignment="1">
      <alignment horizontal="center" vertical="center"/>
    </xf>
    <xf numFmtId="44" fontId="0" fillId="49" borderId="4" xfId="0" applyNumberFormat="1" applyFill="1" applyBorder="1" applyAlignment="1">
      <alignment horizontal="center" vertical="center" wrapText="1"/>
    </xf>
    <xf numFmtId="2" fontId="0" fillId="49" borderId="4" xfId="0" applyNumberFormat="1" applyFill="1" applyBorder="1" applyAlignment="1">
      <alignment horizontal="center" vertical="center" wrapText="1"/>
    </xf>
    <xf numFmtId="0" fontId="0" fillId="42" borderId="12" xfId="0" applyFill="1" applyBorder="1" applyAlignment="1">
      <alignment horizontal="center" vertical="center" wrapText="1"/>
    </xf>
    <xf numFmtId="44" fontId="0" fillId="42" borderId="12" xfId="0" applyNumberFormat="1" applyFill="1" applyBorder="1" applyAlignment="1">
      <alignment horizontal="center" vertical="center"/>
    </xf>
    <xf numFmtId="44" fontId="0" fillId="42" borderId="4" xfId="0" applyNumberFormat="1" applyFill="1" applyBorder="1" applyAlignment="1">
      <alignment horizontal="center" vertical="center"/>
    </xf>
    <xf numFmtId="14" fontId="0" fillId="42" borderId="4" xfId="0" applyNumberFormat="1" applyFill="1" applyBorder="1" applyAlignment="1">
      <alignment horizontal="center" vertical="center"/>
    </xf>
    <xf numFmtId="2" fontId="0" fillId="42" borderId="4" xfId="0" applyNumberFormat="1" applyFill="1" applyBorder="1" applyAlignment="1">
      <alignment horizontal="center" vertical="center" wrapText="1"/>
    </xf>
    <xf numFmtId="0" fontId="0" fillId="55" borderId="4" xfId="0" applyFill="1" applyBorder="1" applyAlignment="1">
      <alignment horizontal="center" vertical="center" wrapText="1"/>
    </xf>
    <xf numFmtId="44" fontId="0" fillId="55" borderId="4" xfId="2" applyFont="1" applyFill="1" applyBorder="1" applyAlignment="1">
      <alignment horizontal="center" vertical="center" wrapText="1"/>
    </xf>
    <xf numFmtId="44" fontId="0" fillId="55" borderId="4" xfId="0" applyNumberFormat="1" applyFill="1" applyBorder="1" applyAlignment="1">
      <alignment horizontal="center" vertical="center" wrapText="1"/>
    </xf>
    <xf numFmtId="2" fontId="0" fillId="55" borderId="4" xfId="0" applyNumberFormat="1" applyFill="1" applyBorder="1" applyAlignment="1">
      <alignment horizontal="center" vertical="center" wrapText="1"/>
    </xf>
    <xf numFmtId="44" fontId="0" fillId="53" borderId="4" xfId="2" applyFont="1" applyFill="1" applyBorder="1" applyAlignment="1">
      <alignment horizontal="center" vertical="center" wrapText="1"/>
    </xf>
    <xf numFmtId="0" fontId="0" fillId="56" borderId="4" xfId="0" applyFill="1" applyBorder="1" applyAlignment="1">
      <alignment horizontal="center" vertical="center"/>
    </xf>
    <xf numFmtId="0" fontId="0" fillId="56" borderId="4" xfId="0" applyFill="1" applyBorder="1" applyAlignment="1">
      <alignment horizontal="center" vertical="center" wrapText="1"/>
    </xf>
    <xf numFmtId="167" fontId="0" fillId="56" borderId="4" xfId="0" applyNumberFormat="1" applyFill="1" applyBorder="1" applyAlignment="1">
      <alignment horizontal="center" vertical="center"/>
    </xf>
    <xf numFmtId="14" fontId="0" fillId="56" borderId="4" xfId="0" applyNumberFormat="1" applyFill="1" applyBorder="1" applyAlignment="1">
      <alignment horizontal="center" vertical="center"/>
    </xf>
    <xf numFmtId="2" fontId="0" fillId="56" borderId="4" xfId="0" applyNumberFormat="1" applyFill="1" applyBorder="1" applyAlignment="1">
      <alignment horizontal="center" vertical="center"/>
    </xf>
    <xf numFmtId="0" fontId="0" fillId="56" borderId="0" xfId="0" applyFill="1"/>
    <xf numFmtId="167" fontId="0" fillId="41" borderId="4" xfId="0" applyNumberFormat="1" applyFill="1" applyBorder="1" applyAlignment="1">
      <alignment horizontal="center" vertical="center"/>
    </xf>
    <xf numFmtId="14" fontId="0" fillId="41" borderId="4" xfId="0" applyNumberFormat="1" applyFill="1" applyBorder="1" applyAlignment="1">
      <alignment horizontal="center" vertical="center"/>
    </xf>
    <xf numFmtId="167" fontId="0" fillId="38" borderId="4" xfId="0" applyNumberFormat="1" applyFill="1" applyBorder="1" applyAlignment="1">
      <alignment horizontal="center" vertical="center"/>
    </xf>
    <xf numFmtId="167" fontId="0" fillId="39" borderId="4" xfId="0" applyNumberFormat="1" applyFill="1" applyBorder="1" applyAlignment="1">
      <alignment horizontal="center" vertical="center"/>
    </xf>
    <xf numFmtId="0" fontId="0" fillId="53" borderId="4" xfId="0" applyFill="1" applyBorder="1" applyAlignment="1">
      <alignment horizontal="center" vertical="center"/>
    </xf>
    <xf numFmtId="167" fontId="0" fillId="53" borderId="4" xfId="0" applyNumberFormat="1" applyFill="1" applyBorder="1" applyAlignment="1">
      <alignment horizontal="center" vertical="center"/>
    </xf>
    <xf numFmtId="14" fontId="0" fillId="53" borderId="4" xfId="0" applyNumberFormat="1" applyFill="1" applyBorder="1" applyAlignment="1">
      <alignment horizontal="center" vertical="center"/>
    </xf>
    <xf numFmtId="167" fontId="0" fillId="53" borderId="4" xfId="0" applyNumberFormat="1" applyFill="1" applyBorder="1" applyAlignment="1">
      <alignment horizontal="center" vertical="center" wrapText="1"/>
    </xf>
    <xf numFmtId="2" fontId="0" fillId="53" borderId="4" xfId="0" applyNumberFormat="1" applyFill="1" applyBorder="1" applyAlignment="1">
      <alignment horizontal="center" vertical="center"/>
    </xf>
    <xf numFmtId="0" fontId="0" fillId="53" borderId="4" xfId="0" applyFill="1" applyBorder="1" applyAlignment="1">
      <alignment horizontal="center"/>
    </xf>
    <xf numFmtId="167" fontId="0" fillId="53" borderId="4" xfId="0" applyNumberFormat="1" applyFill="1" applyBorder="1"/>
    <xf numFmtId="0" fontId="0" fillId="53" borderId="4" xfId="0" applyFill="1" applyBorder="1"/>
    <xf numFmtId="167" fontId="0" fillId="38" borderId="4" xfId="0" applyNumberFormat="1" applyFill="1" applyBorder="1" applyAlignment="1">
      <alignment horizontal="center" vertical="center" wrapText="1"/>
    </xf>
    <xf numFmtId="1" fontId="0" fillId="38" borderId="4" xfId="0" applyNumberFormat="1" applyFill="1" applyBorder="1" applyAlignment="1">
      <alignment horizontal="center" vertical="center"/>
    </xf>
    <xf numFmtId="2" fontId="0" fillId="37" borderId="4" xfId="0" applyNumberFormat="1" applyFill="1" applyBorder="1" applyAlignment="1">
      <alignment horizontal="center" vertical="center"/>
    </xf>
    <xf numFmtId="2" fontId="0" fillId="37" borderId="4" xfId="0" applyNumberFormat="1" applyFill="1" applyBorder="1"/>
    <xf numFmtId="0" fontId="0" fillId="9" borderId="4" xfId="0" applyFill="1" applyBorder="1"/>
    <xf numFmtId="167" fontId="0" fillId="9" borderId="4" xfId="0" applyNumberFormat="1" applyFill="1" applyBorder="1"/>
    <xf numFmtId="0" fontId="0" fillId="23" borderId="4" xfId="0" applyFill="1" applyBorder="1" applyAlignment="1">
      <alignment horizontal="center" vertical="center" wrapText="1"/>
    </xf>
    <xf numFmtId="167" fontId="0" fillId="23" borderId="4" xfId="0" applyNumberFormat="1" applyFill="1" applyBorder="1" applyAlignment="1">
      <alignment horizontal="center" vertical="center" wrapText="1"/>
    </xf>
    <xf numFmtId="14" fontId="0" fillId="23" borderId="4" xfId="0" applyNumberFormat="1" applyFill="1" applyBorder="1" applyAlignment="1">
      <alignment horizontal="center" vertical="center" wrapText="1"/>
    </xf>
    <xf numFmtId="1" fontId="0" fillId="23" borderId="4" xfId="0" applyNumberFormat="1" applyFill="1" applyBorder="1" applyAlignment="1">
      <alignment horizontal="center" vertical="center" wrapText="1"/>
    </xf>
    <xf numFmtId="0" fontId="0" fillId="23" borderId="4" xfId="0" applyFill="1" applyBorder="1"/>
    <xf numFmtId="167" fontId="0" fillId="23" borderId="4" xfId="0" applyNumberFormat="1" applyFill="1" applyBorder="1"/>
    <xf numFmtId="2" fontId="0" fillId="23" borderId="4" xfId="0" applyNumberFormat="1" applyFill="1" applyBorder="1"/>
    <xf numFmtId="0" fontId="0" fillId="4" borderId="11" xfId="0" applyFill="1" applyBorder="1" applyAlignment="1">
      <alignment horizontal="center" vertical="center"/>
    </xf>
    <xf numFmtId="167" fontId="0" fillId="4" borderId="4" xfId="0" applyNumberFormat="1" applyFill="1" applyBorder="1" applyAlignment="1">
      <alignment horizontal="center" vertical="center" wrapText="1"/>
    </xf>
    <xf numFmtId="0" fontId="6" fillId="4" borderId="5" xfId="0" applyFont="1" applyFill="1" applyBorder="1" applyAlignment="1">
      <alignment horizontal="center" vertical="center" wrapText="1"/>
    </xf>
    <xf numFmtId="167" fontId="0" fillId="4" borderId="5" xfId="0" applyNumberFormat="1" applyFill="1" applyBorder="1" applyAlignment="1">
      <alignment horizontal="center" vertical="center"/>
    </xf>
    <xf numFmtId="167" fontId="0" fillId="33" borderId="5" xfId="0" applyNumberFormat="1" applyFill="1" applyBorder="1" applyAlignment="1">
      <alignment horizontal="center" vertical="center"/>
    </xf>
    <xf numFmtId="167" fontId="0" fillId="33" borderId="4" xfId="0" applyNumberFormat="1" applyFill="1" applyBorder="1" applyAlignment="1">
      <alignment horizontal="center" vertical="center" wrapText="1"/>
    </xf>
    <xf numFmtId="167" fontId="0" fillId="33" borderId="4" xfId="0" applyNumberFormat="1" applyFill="1" applyBorder="1" applyAlignment="1">
      <alignment horizontal="center" vertical="center"/>
    </xf>
    <xf numFmtId="1" fontId="0" fillId="9" borderId="4" xfId="0" applyNumberFormat="1" applyFill="1" applyBorder="1" applyAlignment="1">
      <alignment horizontal="center" vertical="center"/>
    </xf>
    <xf numFmtId="44" fontId="0" fillId="9" borderId="4" xfId="0" applyNumberFormat="1" applyFill="1" applyBorder="1"/>
    <xf numFmtId="0" fontId="0" fillId="40" borderId="4" xfId="0" applyFill="1" applyBorder="1" applyAlignment="1">
      <alignment vertical="center" wrapText="1"/>
    </xf>
    <xf numFmtId="167" fontId="0" fillId="40" borderId="4" xfId="0" applyNumberFormat="1" applyFill="1" applyBorder="1" applyAlignment="1">
      <alignment horizontal="center" vertical="center" wrapText="1"/>
    </xf>
    <xf numFmtId="14" fontId="0" fillId="40" borderId="4" xfId="0" applyNumberFormat="1" applyFill="1" applyBorder="1" applyAlignment="1">
      <alignment horizontal="center" vertical="center" wrapText="1"/>
    </xf>
    <xf numFmtId="1" fontId="0" fillId="40" borderId="4" xfId="0" applyNumberFormat="1" applyFill="1" applyBorder="1" applyAlignment="1">
      <alignment horizontal="center" vertical="center" wrapText="1"/>
    </xf>
    <xf numFmtId="0" fontId="0" fillId="30" borderId="4" xfId="0" applyFont="1" applyFill="1" applyBorder="1" applyAlignment="1">
      <alignment horizontal="center" vertical="center"/>
    </xf>
    <xf numFmtId="167" fontId="0" fillId="30" borderId="4" xfId="0" applyNumberFormat="1" applyFont="1" applyFill="1" applyBorder="1" applyAlignment="1">
      <alignment horizontal="center" vertical="center"/>
    </xf>
    <xf numFmtId="167" fontId="0" fillId="30" borderId="4" xfId="0" applyNumberFormat="1" applyFill="1" applyBorder="1" applyAlignment="1">
      <alignment horizontal="center" vertical="center" wrapText="1"/>
    </xf>
    <xf numFmtId="167" fontId="0" fillId="35" borderId="4" xfId="0" applyNumberFormat="1" applyFill="1" applyBorder="1"/>
    <xf numFmtId="167" fontId="0" fillId="35" borderId="4" xfId="0" applyNumberFormat="1" applyFill="1" applyBorder="1" applyAlignment="1">
      <alignment horizontal="center" vertical="center"/>
    </xf>
    <xf numFmtId="3" fontId="7" fillId="30" borderId="4" xfId="0" applyNumberFormat="1" applyFont="1" applyFill="1" applyBorder="1" applyAlignment="1">
      <alignment horizontal="center" vertical="center" wrapText="1"/>
    </xf>
    <xf numFmtId="3" fontId="7" fillId="30" borderId="7" xfId="0" applyNumberFormat="1" applyFont="1" applyFill="1" applyBorder="1" applyAlignment="1">
      <alignment horizontal="center" vertical="center" wrapText="1"/>
    </xf>
    <xf numFmtId="0" fontId="6" fillId="30" borderId="4" xfId="0" applyFont="1" applyFill="1" applyBorder="1" applyAlignment="1">
      <alignment horizontal="center" vertical="center" wrapText="1"/>
    </xf>
    <xf numFmtId="0" fontId="6" fillId="30" borderId="7" xfId="0" applyFont="1" applyFill="1" applyBorder="1" applyAlignment="1">
      <alignment horizontal="center" vertical="center" wrapText="1"/>
    </xf>
    <xf numFmtId="0" fontId="0" fillId="2" borderId="4" xfId="0" applyFill="1" applyBorder="1" applyAlignment="1">
      <alignment horizontal="center" vertical="center" wrapText="1"/>
    </xf>
    <xf numFmtId="0" fontId="4" fillId="2" borderId="4" xfId="0" applyFont="1" applyFill="1" applyBorder="1" applyAlignment="1">
      <alignment horizontal="center" vertical="center" wrapText="1"/>
    </xf>
    <xf numFmtId="0" fontId="0" fillId="31" borderId="4" xfId="0" applyFill="1" applyBorder="1" applyAlignment="1">
      <alignment horizontal="center" vertical="center" wrapText="1"/>
    </xf>
    <xf numFmtId="0" fontId="6" fillId="31" borderId="4" xfId="0" applyFont="1" applyFill="1" applyBorder="1" applyAlignment="1">
      <alignment horizontal="center" vertical="center" wrapText="1"/>
    </xf>
    <xf numFmtId="43" fontId="0" fillId="31" borderId="4" xfId="1" applyFont="1" applyFill="1" applyBorder="1" applyAlignment="1">
      <alignment horizontal="center" vertical="center" wrapText="1"/>
    </xf>
    <xf numFmtId="44" fontId="0" fillId="31" borderId="4" xfId="0" applyNumberFormat="1" applyFill="1" applyBorder="1" applyAlignment="1">
      <alignment horizontal="center" vertical="center" wrapText="1"/>
    </xf>
    <xf numFmtId="0" fontId="0" fillId="30" borderId="19" xfId="0" applyFont="1" applyFill="1" applyBorder="1" applyAlignment="1">
      <alignment horizontal="center" vertical="center" wrapText="1"/>
    </xf>
    <xf numFmtId="0" fontId="0" fillId="30" borderId="16" xfId="0" applyFont="1" applyFill="1" applyBorder="1" applyAlignment="1">
      <alignment horizontal="center" vertical="center" wrapText="1"/>
    </xf>
    <xf numFmtId="0" fontId="0" fillId="30" borderId="4" xfId="0" applyFont="1" applyFill="1" applyBorder="1" applyAlignment="1">
      <alignment horizontal="center" vertical="center" wrapText="1"/>
    </xf>
    <xf numFmtId="0" fontId="0" fillId="30" borderId="7" xfId="0" applyFont="1" applyFill="1" applyBorder="1" applyAlignment="1">
      <alignment horizontal="center" vertical="center" wrapText="1"/>
    </xf>
    <xf numFmtId="0" fontId="0" fillId="36" borderId="7" xfId="0" applyFill="1" applyBorder="1" applyAlignment="1">
      <alignment horizontal="center" vertical="center" wrapText="1"/>
    </xf>
    <xf numFmtId="0" fontId="0" fillId="36" borderId="5" xfId="0" applyFill="1" applyBorder="1" applyAlignment="1">
      <alignment horizontal="center" vertical="center" wrapText="1"/>
    </xf>
    <xf numFmtId="0" fontId="0" fillId="36" borderId="7" xfId="0" applyFill="1" applyBorder="1" applyAlignment="1">
      <alignment horizontal="center" vertical="center"/>
    </xf>
    <xf numFmtId="0" fontId="0" fillId="36" borderId="5" xfId="0" applyFill="1" applyBorder="1" applyAlignment="1">
      <alignment horizontal="center" vertical="center"/>
    </xf>
    <xf numFmtId="0" fontId="0" fillId="32" borderId="7" xfId="0" applyFill="1" applyBorder="1" applyAlignment="1">
      <alignment horizontal="center" vertical="center"/>
    </xf>
    <xf numFmtId="0" fontId="0" fillId="32" borderId="5" xfId="0" applyFill="1" applyBorder="1" applyAlignment="1">
      <alignment horizontal="center" vertical="center"/>
    </xf>
    <xf numFmtId="0" fontId="0" fillId="32" borderId="7" xfId="0" applyFill="1" applyBorder="1" applyAlignment="1">
      <alignment horizontal="center" vertical="center" wrapText="1"/>
    </xf>
    <xf numFmtId="0" fontId="0" fillId="32" borderId="5" xfId="0" applyFill="1" applyBorder="1" applyAlignment="1">
      <alignment horizontal="center" vertical="center" wrapText="1"/>
    </xf>
    <xf numFmtId="0" fontId="0" fillId="39" borderId="7" xfId="0" applyFill="1" applyBorder="1" applyAlignment="1">
      <alignment horizontal="center" vertical="center" wrapText="1"/>
    </xf>
    <xf numFmtId="0" fontId="0" fillId="39" borderId="8" xfId="0" applyFill="1" applyBorder="1" applyAlignment="1">
      <alignment horizontal="center" vertical="center" wrapText="1"/>
    </xf>
    <xf numFmtId="0" fontId="0" fillId="39" borderId="5" xfId="0" applyFill="1" applyBorder="1" applyAlignment="1">
      <alignment horizontal="center" vertical="center" wrapText="1"/>
    </xf>
    <xf numFmtId="44" fontId="0" fillId="39" borderId="7" xfId="2" applyFont="1" applyFill="1" applyBorder="1" applyAlignment="1">
      <alignment horizontal="center" vertical="center" wrapText="1"/>
    </xf>
    <xf numFmtId="44" fontId="0" fillId="39" borderId="8" xfId="2" applyFont="1" applyFill="1" applyBorder="1" applyAlignment="1">
      <alignment horizontal="center" vertical="center" wrapText="1"/>
    </xf>
    <xf numFmtId="44" fontId="0" fillId="39" borderId="5" xfId="2" applyFont="1" applyFill="1" applyBorder="1" applyAlignment="1">
      <alignment horizontal="center" vertical="center" wrapText="1"/>
    </xf>
    <xf numFmtId="0" fontId="0" fillId="37" borderId="7" xfId="0" applyFill="1" applyBorder="1" applyAlignment="1">
      <alignment horizontal="center" vertical="center" wrapText="1"/>
    </xf>
    <xf numFmtId="0" fontId="0" fillId="37" borderId="5" xfId="0" applyFill="1" applyBorder="1" applyAlignment="1">
      <alignment horizontal="center" vertical="center" wrapText="1"/>
    </xf>
    <xf numFmtId="43" fontId="0" fillId="37" borderId="7" xfId="1" applyFont="1" applyFill="1" applyBorder="1" applyAlignment="1">
      <alignment horizontal="center" vertical="center" wrapText="1"/>
    </xf>
    <xf numFmtId="43" fontId="0" fillId="37" borderId="5" xfId="1" applyFont="1" applyFill="1" applyBorder="1" applyAlignment="1">
      <alignment horizontal="center" vertical="center" wrapText="1"/>
    </xf>
    <xf numFmtId="0" fontId="0" fillId="38" borderId="4" xfId="0" applyFill="1" applyBorder="1" applyAlignment="1">
      <alignment horizontal="center" vertical="center"/>
    </xf>
    <xf numFmtId="0" fontId="0" fillId="38" borderId="7" xfId="0" applyFill="1" applyBorder="1" applyAlignment="1">
      <alignment horizontal="center" vertical="center"/>
    </xf>
    <xf numFmtId="0" fontId="0" fillId="38" borderId="8" xfId="0" applyFill="1" applyBorder="1" applyAlignment="1">
      <alignment horizontal="center" vertical="center"/>
    </xf>
    <xf numFmtId="0" fontId="0" fillId="38" borderId="5" xfId="0" applyFill="1" applyBorder="1" applyAlignment="1">
      <alignment horizontal="center" vertical="center"/>
    </xf>
    <xf numFmtId="0" fontId="0" fillId="38" borderId="7" xfId="0" applyFill="1" applyBorder="1" applyAlignment="1">
      <alignment horizontal="center" vertical="center" wrapText="1"/>
    </xf>
    <xf numFmtId="0" fontId="0" fillId="38" borderId="8" xfId="0" applyFill="1" applyBorder="1" applyAlignment="1">
      <alignment horizontal="center" vertical="center" wrapText="1"/>
    </xf>
    <xf numFmtId="0" fontId="0" fillId="38" borderId="5" xfId="0" applyFill="1" applyBorder="1" applyAlignment="1">
      <alignment horizontal="center" vertical="center" wrapText="1"/>
    </xf>
    <xf numFmtId="44" fontId="0" fillId="38" borderId="7" xfId="2" applyFont="1" applyFill="1" applyBorder="1" applyAlignment="1">
      <alignment horizontal="center" vertical="center"/>
    </xf>
    <xf numFmtId="44" fontId="0" fillId="38" borderId="8" xfId="2" applyFont="1" applyFill="1" applyBorder="1" applyAlignment="1">
      <alignment horizontal="center" vertical="center"/>
    </xf>
    <xf numFmtId="44" fontId="0" fillId="38" borderId="5" xfId="2" applyFont="1" applyFill="1" applyBorder="1" applyAlignment="1">
      <alignment horizontal="center" vertical="center"/>
    </xf>
    <xf numFmtId="0" fontId="0" fillId="31" borderId="7" xfId="0" applyFill="1" applyBorder="1" applyAlignment="1">
      <alignment horizontal="center" vertical="center"/>
    </xf>
    <xf numFmtId="0" fontId="0" fillId="31" borderId="8" xfId="0" applyFill="1" applyBorder="1" applyAlignment="1">
      <alignment horizontal="center" vertical="center"/>
    </xf>
    <xf numFmtId="0" fontId="0" fillId="31" borderId="5" xfId="0" applyFill="1" applyBorder="1" applyAlignment="1">
      <alignment horizontal="center" vertical="center"/>
    </xf>
    <xf numFmtId="44" fontId="0" fillId="31" borderId="4" xfId="0" applyNumberFormat="1" applyFill="1" applyBorder="1" applyAlignment="1">
      <alignment horizontal="center" vertical="center"/>
    </xf>
    <xf numFmtId="0" fontId="4" fillId="2" borderId="18"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0" fillId="4" borderId="4" xfId="0" applyFill="1" applyBorder="1" applyAlignment="1">
      <alignment horizontal="center" vertical="center" wrapText="1"/>
    </xf>
    <xf numFmtId="44" fontId="0" fillId="4" borderId="4" xfId="0" applyNumberFormat="1" applyFill="1" applyBorder="1" applyAlignment="1">
      <alignment horizontal="center" vertical="center" wrapText="1"/>
    </xf>
    <xf numFmtId="0" fontId="0" fillId="5" borderId="4" xfId="0" applyFill="1" applyBorder="1" applyAlignment="1">
      <alignment horizontal="center" vertical="center"/>
    </xf>
    <xf numFmtId="0" fontId="0" fillId="5" borderId="4" xfId="0" applyFill="1" applyBorder="1" applyAlignment="1">
      <alignment horizontal="center" vertical="center" wrapText="1"/>
    </xf>
    <xf numFmtId="44" fontId="0" fillId="5" borderId="7" xfId="0" applyNumberFormat="1" applyFill="1" applyBorder="1" applyAlignment="1">
      <alignment horizontal="center" vertical="center"/>
    </xf>
    <xf numFmtId="44" fontId="0" fillId="5" borderId="8" xfId="0" applyNumberFormat="1" applyFill="1" applyBorder="1" applyAlignment="1">
      <alignment horizontal="center" vertical="center"/>
    </xf>
    <xf numFmtId="44" fontId="0" fillId="5" borderId="5" xfId="0" applyNumberFormat="1" applyFill="1" applyBorder="1" applyAlignment="1">
      <alignment horizontal="center" vertical="center"/>
    </xf>
    <xf numFmtId="43" fontId="0" fillId="32" borderId="7" xfId="1" applyFont="1" applyFill="1" applyBorder="1" applyAlignment="1">
      <alignment horizontal="center" vertical="center" wrapText="1"/>
    </xf>
    <xf numFmtId="43" fontId="0" fillId="32" borderId="5" xfId="1" applyFont="1" applyFill="1" applyBorder="1" applyAlignment="1">
      <alignment horizontal="center" vertical="center" wrapText="1"/>
    </xf>
    <xf numFmtId="0" fontId="0" fillId="34" borderId="7" xfId="0" applyFill="1" applyBorder="1" applyAlignment="1">
      <alignment horizontal="center" vertical="center"/>
    </xf>
    <xf numFmtId="0" fontId="0" fillId="34" borderId="8" xfId="0" applyFill="1" applyBorder="1" applyAlignment="1">
      <alignment horizontal="center" vertical="center"/>
    </xf>
    <xf numFmtId="0" fontId="0" fillId="34" borderId="5" xfId="0" applyFill="1" applyBorder="1" applyAlignment="1">
      <alignment horizontal="center" vertical="center"/>
    </xf>
    <xf numFmtId="0" fontId="0" fillId="34" borderId="7" xfId="0" applyFill="1" applyBorder="1" applyAlignment="1">
      <alignment horizontal="center" vertical="center" wrapText="1"/>
    </xf>
    <xf numFmtId="0" fontId="0" fillId="34" borderId="8" xfId="0" applyFill="1" applyBorder="1" applyAlignment="1">
      <alignment horizontal="center" vertical="center" wrapText="1"/>
    </xf>
    <xf numFmtId="0" fontId="0" fillId="34" borderId="5" xfId="0" applyFill="1" applyBorder="1" applyAlignment="1">
      <alignment horizontal="center" vertical="center" wrapText="1"/>
    </xf>
    <xf numFmtId="44" fontId="0" fillId="34" borderId="4" xfId="0" applyNumberFormat="1" applyFill="1" applyBorder="1" applyAlignment="1">
      <alignment horizontal="center" vertical="center"/>
    </xf>
    <xf numFmtId="0" fontId="0" fillId="34" borderId="4" xfId="0" applyFill="1" applyBorder="1" applyAlignment="1">
      <alignment horizontal="center" vertical="center" wrapText="1"/>
    </xf>
    <xf numFmtId="0" fontId="0" fillId="12" borderId="7" xfId="0" applyFill="1" applyBorder="1" applyAlignment="1">
      <alignment horizontal="center" vertical="center" wrapText="1"/>
    </xf>
    <xf numFmtId="0" fontId="0" fillId="12" borderId="5" xfId="0" applyFill="1" applyBorder="1" applyAlignment="1">
      <alignment horizontal="center" vertical="center" wrapText="1"/>
    </xf>
    <xf numFmtId="43" fontId="0" fillId="12" borderId="7" xfId="1" applyFont="1" applyFill="1" applyBorder="1" applyAlignment="1">
      <alignment horizontal="center" vertical="center" wrapText="1"/>
    </xf>
    <xf numFmtId="43" fontId="0" fillId="12" borderId="5" xfId="1" applyFont="1" applyFill="1" applyBorder="1" applyAlignment="1">
      <alignment horizontal="center" vertical="center" wrapText="1"/>
    </xf>
    <xf numFmtId="0" fontId="0" fillId="45" borderId="7" xfId="0" applyFill="1" applyBorder="1" applyAlignment="1">
      <alignment horizontal="center" vertical="center"/>
    </xf>
    <xf numFmtId="0" fontId="0" fillId="45" borderId="8" xfId="0" applyFill="1" applyBorder="1" applyAlignment="1">
      <alignment horizontal="center" vertical="center"/>
    </xf>
    <xf numFmtId="0" fontId="0" fillId="45" borderId="5" xfId="0" applyFill="1" applyBorder="1" applyAlignment="1">
      <alignment horizontal="center" vertical="center"/>
    </xf>
    <xf numFmtId="0" fontId="0" fillId="41" borderId="7" xfId="0" applyFill="1" applyBorder="1" applyAlignment="1">
      <alignment horizontal="center" vertical="center"/>
    </xf>
    <xf numFmtId="0" fontId="0" fillId="41" borderId="8" xfId="0" applyFill="1" applyBorder="1" applyAlignment="1">
      <alignment horizontal="center" vertical="center"/>
    </xf>
    <xf numFmtId="0" fontId="0" fillId="41" borderId="5" xfId="0" applyFill="1" applyBorder="1" applyAlignment="1">
      <alignment horizontal="center" vertical="center"/>
    </xf>
    <xf numFmtId="0" fontId="0" fillId="41" borderId="7" xfId="0" applyFill="1" applyBorder="1" applyAlignment="1">
      <alignment horizontal="center" vertical="center" wrapText="1"/>
    </xf>
    <xf numFmtId="0" fontId="0" fillId="41" borderId="5" xfId="0" applyFill="1" applyBorder="1" applyAlignment="1">
      <alignment horizontal="center" vertical="center" wrapText="1"/>
    </xf>
    <xf numFmtId="0" fontId="0" fillId="6" borderId="7" xfId="0"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5" xfId="0" applyFill="1" applyBorder="1" applyAlignment="1">
      <alignment horizontal="center" vertical="center" wrapText="1"/>
    </xf>
    <xf numFmtId="44" fontId="0" fillId="41" borderId="7" xfId="1" applyNumberFormat="1" applyFont="1" applyFill="1" applyBorder="1" applyAlignment="1">
      <alignment horizontal="center" vertical="center"/>
    </xf>
    <xf numFmtId="44" fontId="0" fillId="41" borderId="5" xfId="1" applyNumberFormat="1" applyFont="1" applyFill="1" applyBorder="1" applyAlignment="1">
      <alignment horizontal="center" vertical="center"/>
    </xf>
    <xf numFmtId="0" fontId="0" fillId="45" borderId="7" xfId="0" applyFill="1" applyBorder="1" applyAlignment="1">
      <alignment horizontal="center" vertical="center" wrapText="1"/>
    </xf>
    <xf numFmtId="0" fontId="0" fillId="45" borderId="8" xfId="0" applyFill="1" applyBorder="1" applyAlignment="1">
      <alignment horizontal="center" vertical="center" wrapText="1"/>
    </xf>
    <xf numFmtId="0" fontId="0" fillId="45" borderId="5" xfId="0" applyFill="1" applyBorder="1" applyAlignment="1">
      <alignment horizontal="center" vertical="center" wrapText="1"/>
    </xf>
    <xf numFmtId="44" fontId="0" fillId="6" borderId="7" xfId="1" applyNumberFormat="1" applyFont="1" applyFill="1" applyBorder="1" applyAlignment="1">
      <alignment horizontal="center" vertical="center" wrapText="1"/>
    </xf>
    <xf numFmtId="44" fontId="0" fillId="6" borderId="8" xfId="1" applyNumberFormat="1" applyFont="1" applyFill="1" applyBorder="1" applyAlignment="1">
      <alignment horizontal="center" vertical="center" wrapText="1"/>
    </xf>
    <xf numFmtId="44" fontId="0" fillId="6" borderId="5" xfId="1" applyNumberFormat="1" applyFont="1" applyFill="1" applyBorder="1" applyAlignment="1">
      <alignment horizontal="center" vertical="center" wrapText="1"/>
    </xf>
    <xf numFmtId="0" fontId="0" fillId="40" borderId="7" xfId="0" applyFill="1" applyBorder="1" applyAlignment="1">
      <alignment horizontal="center" vertical="center"/>
    </xf>
    <xf numFmtId="0" fontId="0" fillId="40" borderId="8" xfId="0" applyFill="1" applyBorder="1" applyAlignment="1">
      <alignment horizontal="center" vertical="center"/>
    </xf>
    <xf numFmtId="0" fontId="0" fillId="40" borderId="5" xfId="0" applyFill="1" applyBorder="1" applyAlignment="1">
      <alignment horizontal="center" vertical="center"/>
    </xf>
    <xf numFmtId="0" fontId="0" fillId="30" borderId="7" xfId="0" applyFill="1" applyBorder="1" applyAlignment="1">
      <alignment horizontal="center" vertical="center"/>
    </xf>
    <xf numFmtId="0" fontId="0" fillId="30" borderId="8" xfId="0" applyFill="1" applyBorder="1" applyAlignment="1">
      <alignment horizontal="center" vertical="center"/>
    </xf>
    <xf numFmtId="0" fontId="0" fillId="30" borderId="5" xfId="0" applyFill="1" applyBorder="1" applyAlignment="1">
      <alignment horizontal="center" vertical="center"/>
    </xf>
    <xf numFmtId="0" fontId="0" fillId="46" borderId="7" xfId="0" applyFill="1" applyBorder="1" applyAlignment="1">
      <alignment horizontal="center" vertical="center"/>
    </xf>
    <xf numFmtId="0" fontId="0" fillId="46" borderId="8" xfId="0" applyFill="1" applyBorder="1" applyAlignment="1">
      <alignment horizontal="center" vertical="center"/>
    </xf>
    <xf numFmtId="0" fontId="0" fillId="46" borderId="5" xfId="0" applyFill="1" applyBorder="1" applyAlignment="1">
      <alignment horizontal="center" vertical="center"/>
    </xf>
    <xf numFmtId="44" fontId="0" fillId="30" borderId="7" xfId="1" applyNumberFormat="1" applyFont="1" applyFill="1" applyBorder="1" applyAlignment="1">
      <alignment horizontal="center" vertical="center"/>
    </xf>
    <xf numFmtId="44" fontId="0" fillId="30" borderId="5" xfId="1" applyNumberFormat="1" applyFont="1" applyFill="1" applyBorder="1" applyAlignment="1">
      <alignment horizontal="center" vertical="center"/>
    </xf>
    <xf numFmtId="0" fontId="0" fillId="30" borderId="9" xfId="0" applyFill="1" applyBorder="1" applyAlignment="1">
      <alignment horizontal="center" vertical="center" wrapText="1"/>
    </xf>
    <xf numFmtId="0" fontId="0" fillId="30" borderId="10" xfId="0" applyFill="1" applyBorder="1" applyAlignment="1">
      <alignment horizontal="center" vertical="center"/>
    </xf>
    <xf numFmtId="44" fontId="0" fillId="40" borderId="7" xfId="1" applyNumberFormat="1" applyFont="1" applyFill="1" applyBorder="1" applyAlignment="1">
      <alignment horizontal="center" vertical="center"/>
    </xf>
    <xf numFmtId="44" fontId="0" fillId="40" borderId="5" xfId="1" applyNumberFormat="1" applyFont="1" applyFill="1" applyBorder="1" applyAlignment="1">
      <alignment horizontal="center" vertical="center"/>
    </xf>
    <xf numFmtId="0" fontId="0" fillId="40" borderId="7" xfId="0" applyFill="1" applyBorder="1" applyAlignment="1">
      <alignment horizontal="center" vertical="center" wrapText="1"/>
    </xf>
    <xf numFmtId="0" fontId="0" fillId="40" borderId="5" xfId="0" applyFill="1" applyBorder="1" applyAlignment="1">
      <alignment horizontal="center" vertical="center" wrapText="1"/>
    </xf>
    <xf numFmtId="0" fontId="0" fillId="46" borderId="7" xfId="0" applyFill="1" applyBorder="1" applyAlignment="1">
      <alignment horizontal="center" vertical="center" wrapText="1"/>
    </xf>
    <xf numFmtId="44" fontId="0" fillId="46" borderId="7" xfId="1" applyNumberFormat="1" applyFont="1" applyFill="1" applyBorder="1" applyAlignment="1">
      <alignment horizontal="center" vertical="center"/>
    </xf>
    <xf numFmtId="44" fontId="0" fillId="46" borderId="5" xfId="1" applyNumberFormat="1" applyFont="1" applyFill="1" applyBorder="1" applyAlignment="1">
      <alignment horizontal="center" vertical="center"/>
    </xf>
    <xf numFmtId="0" fontId="0" fillId="30" borderId="7" xfId="0" applyFill="1" applyBorder="1" applyAlignment="1">
      <alignment horizontal="center" vertical="center" wrapText="1"/>
    </xf>
    <xf numFmtId="0" fontId="0" fillId="30" borderId="5" xfId="0" applyFill="1" applyBorder="1" applyAlignment="1">
      <alignment horizontal="center" vertical="center" wrapText="1"/>
    </xf>
    <xf numFmtId="0" fontId="0" fillId="46" borderId="5" xfId="0" applyFill="1" applyBorder="1" applyAlignment="1">
      <alignment horizontal="center" vertical="center" wrapText="1"/>
    </xf>
    <xf numFmtId="44" fontId="0" fillId="45" borderId="7" xfId="1" applyNumberFormat="1" applyFont="1" applyFill="1" applyBorder="1" applyAlignment="1">
      <alignment horizontal="center" vertical="center"/>
    </xf>
    <xf numFmtId="44" fontId="0" fillId="45" borderId="8" xfId="1" applyNumberFormat="1" applyFont="1" applyFill="1" applyBorder="1" applyAlignment="1">
      <alignment horizontal="center" vertical="center"/>
    </xf>
    <xf numFmtId="44" fontId="0" fillId="45" borderId="5" xfId="1" applyNumberFormat="1" applyFont="1" applyFill="1" applyBorder="1" applyAlignment="1">
      <alignment horizontal="center" vertical="center"/>
    </xf>
    <xf numFmtId="0" fontId="4" fillId="8" borderId="1" xfId="0" applyFont="1" applyFill="1" applyBorder="1" applyAlignment="1">
      <alignment horizontal="center"/>
    </xf>
    <xf numFmtId="0" fontId="4" fillId="8" borderId="2" xfId="0" applyFont="1" applyFill="1" applyBorder="1" applyAlignment="1">
      <alignment horizontal="center"/>
    </xf>
    <xf numFmtId="0" fontId="4" fillId="8" borderId="3" xfId="0" applyFont="1" applyFill="1" applyBorder="1" applyAlignment="1">
      <alignment horizontal="center"/>
    </xf>
    <xf numFmtId="44" fontId="0" fillId="6" borderId="7" xfId="1" applyNumberFormat="1" applyFont="1" applyFill="1" applyBorder="1" applyAlignment="1">
      <alignment horizontal="center" vertical="center"/>
    </xf>
    <xf numFmtId="44" fontId="0" fillId="6" borderId="8" xfId="0" applyNumberFormat="1" applyFill="1" applyBorder="1"/>
    <xf numFmtId="44" fontId="0" fillId="6" borderId="5" xfId="0" applyNumberFormat="1" applyFill="1" applyBorder="1"/>
    <xf numFmtId="44" fontId="0" fillId="4" borderId="8" xfId="1" applyNumberFormat="1" applyFont="1" applyFill="1" applyBorder="1" applyAlignment="1">
      <alignment horizontal="center" vertical="center"/>
    </xf>
    <xf numFmtId="0" fontId="0" fillId="4" borderId="8" xfId="0" applyFill="1" applyBorder="1" applyAlignment="1">
      <alignment horizontal="center" vertical="center"/>
    </xf>
    <xf numFmtId="0" fontId="0" fillId="6" borderId="7" xfId="0" applyFill="1" applyBorder="1" applyAlignment="1">
      <alignment horizontal="center" vertical="center"/>
    </xf>
    <xf numFmtId="0" fontId="0" fillId="6" borderId="8" xfId="0" applyFill="1" applyBorder="1" applyAlignment="1">
      <alignment horizontal="center" vertical="center"/>
    </xf>
    <xf numFmtId="0" fontId="0" fillId="6" borderId="5" xfId="0" applyFill="1" applyBorder="1" applyAlignment="1">
      <alignment horizontal="center" vertical="center"/>
    </xf>
    <xf numFmtId="0" fontId="0" fillId="4" borderId="7" xfId="0" applyFill="1" applyBorder="1" applyAlignment="1">
      <alignment horizontal="center" vertical="center"/>
    </xf>
    <xf numFmtId="0" fontId="0" fillId="4" borderId="5" xfId="0" applyFill="1" applyBorder="1" applyAlignment="1">
      <alignment horizontal="center" vertical="center"/>
    </xf>
    <xf numFmtId="0" fontId="0" fillId="8" borderId="4" xfId="0" applyFill="1" applyBorder="1" applyAlignment="1">
      <alignment horizontal="center" vertical="center" wrapText="1"/>
    </xf>
    <xf numFmtId="0" fontId="0" fillId="4" borderId="8" xfId="0" applyFont="1" applyFill="1" applyBorder="1" applyAlignment="1">
      <alignment horizontal="center" vertical="center" wrapText="1"/>
    </xf>
    <xf numFmtId="0" fontId="0" fillId="4" borderId="5" xfId="0" applyFont="1" applyFill="1" applyBorder="1" applyAlignment="1">
      <alignment horizontal="center" vertical="center" wrapText="1"/>
    </xf>
    <xf numFmtId="0" fontId="4" fillId="8" borderId="18" xfId="0" applyFont="1" applyFill="1" applyBorder="1" applyAlignment="1">
      <alignment horizontal="center"/>
    </xf>
    <xf numFmtId="0" fontId="0" fillId="6" borderId="4" xfId="0" applyFill="1" applyBorder="1" applyAlignment="1">
      <alignment horizontal="center" vertical="center" wrapText="1"/>
    </xf>
    <xf numFmtId="44" fontId="0" fillId="4" borderId="7" xfId="1" applyNumberFormat="1" applyFont="1" applyFill="1" applyBorder="1" applyAlignment="1">
      <alignment horizontal="center" vertical="center" wrapText="1"/>
    </xf>
    <xf numFmtId="44" fontId="0" fillId="4" borderId="8" xfId="1" applyNumberFormat="1" applyFont="1" applyFill="1" applyBorder="1" applyAlignment="1">
      <alignment horizontal="center" vertical="center" wrapText="1"/>
    </xf>
    <xf numFmtId="44" fontId="0" fillId="4" borderId="5" xfId="1" applyNumberFormat="1" applyFont="1" applyFill="1" applyBorder="1" applyAlignment="1">
      <alignment horizontal="center" vertical="center" wrapText="1"/>
    </xf>
    <xf numFmtId="0" fontId="0" fillId="39" borderId="4" xfId="0" applyFill="1" applyBorder="1" applyAlignment="1">
      <alignment horizontal="center" vertical="center" wrapText="1"/>
    </xf>
    <xf numFmtId="0" fontId="6" fillId="39" borderId="4" xfId="0" applyFont="1" applyFill="1" applyBorder="1" applyAlignment="1">
      <alignment horizontal="center" vertical="center" wrapText="1"/>
    </xf>
    <xf numFmtId="43" fontId="0" fillId="39" borderId="4" xfId="1" applyFont="1" applyFill="1" applyBorder="1" applyAlignment="1">
      <alignment horizontal="center" vertical="center" wrapText="1"/>
    </xf>
    <xf numFmtId="44" fontId="0" fillId="39" borderId="4" xfId="0" applyNumberFormat="1" applyFill="1" applyBorder="1" applyAlignment="1">
      <alignment horizontal="center" vertical="center" wrapText="1"/>
    </xf>
    <xf numFmtId="0" fontId="0" fillId="49" borderId="4" xfId="0" applyFill="1" applyBorder="1" applyAlignment="1">
      <alignment horizontal="center" vertical="center" wrapText="1"/>
    </xf>
    <xf numFmtId="44" fontId="0" fillId="49" borderId="4" xfId="0" applyNumberFormat="1" applyFill="1" applyBorder="1" applyAlignment="1">
      <alignment horizontal="center" vertical="center" wrapText="1"/>
    </xf>
    <xf numFmtId="0" fontId="0" fillId="43" borderId="4" xfId="0" applyFill="1" applyBorder="1" applyAlignment="1">
      <alignment horizontal="center" vertical="center"/>
    </xf>
    <xf numFmtId="0" fontId="0" fillId="43" borderId="4" xfId="0" applyFill="1" applyBorder="1" applyAlignment="1">
      <alignment horizontal="center" vertical="center" wrapText="1"/>
    </xf>
    <xf numFmtId="44" fontId="0" fillId="43" borderId="7" xfId="0" applyNumberFormat="1" applyFill="1" applyBorder="1" applyAlignment="1">
      <alignment horizontal="center" vertical="center"/>
    </xf>
    <xf numFmtId="44" fontId="0" fillId="43" borderId="8" xfId="0" applyNumberFormat="1" applyFill="1" applyBorder="1" applyAlignment="1">
      <alignment horizontal="center" vertical="center"/>
    </xf>
    <xf numFmtId="44" fontId="0" fillId="43" borderId="5" xfId="0" applyNumberFormat="1" applyFill="1" applyBorder="1" applyAlignment="1">
      <alignment horizontal="center" vertical="center"/>
    </xf>
    <xf numFmtId="0" fontId="0" fillId="50" borderId="7" xfId="0" applyFill="1" applyBorder="1" applyAlignment="1">
      <alignment horizontal="center" vertical="center"/>
    </xf>
    <xf numFmtId="0" fontId="0" fillId="50" borderId="8" xfId="0" applyFill="1" applyBorder="1" applyAlignment="1">
      <alignment horizontal="center" vertical="center"/>
    </xf>
    <xf numFmtId="0" fontId="0" fillId="50" borderId="5" xfId="0" applyFill="1" applyBorder="1" applyAlignment="1">
      <alignment horizontal="center" vertical="center"/>
    </xf>
    <xf numFmtId="0" fontId="0" fillId="50" borderId="4" xfId="0" applyFill="1" applyBorder="1" applyAlignment="1">
      <alignment horizontal="center" vertical="center" wrapText="1"/>
    </xf>
    <xf numFmtId="44" fontId="0" fillId="50" borderId="4" xfId="0" applyNumberFormat="1" applyFill="1" applyBorder="1" applyAlignment="1">
      <alignment horizontal="center" vertical="center"/>
    </xf>
    <xf numFmtId="0" fontId="0" fillId="8" borderId="7" xfId="0" applyFill="1" applyBorder="1" applyAlignment="1">
      <alignment horizontal="center" vertical="center"/>
    </xf>
    <xf numFmtId="0" fontId="0" fillId="8" borderId="5" xfId="0" applyFill="1" applyBorder="1" applyAlignment="1">
      <alignment horizontal="center" vertical="center"/>
    </xf>
    <xf numFmtId="0" fontId="0" fillId="8" borderId="7" xfId="0" applyFill="1" applyBorder="1" applyAlignment="1">
      <alignment horizontal="center" vertical="center" wrapText="1"/>
    </xf>
    <xf numFmtId="0" fontId="0" fillId="8" borderId="5" xfId="0" applyFill="1" applyBorder="1" applyAlignment="1">
      <alignment horizontal="center" vertical="center" wrapText="1"/>
    </xf>
    <xf numFmtId="43" fontId="0" fillId="8" borderId="7" xfId="1" applyFont="1" applyFill="1" applyBorder="1" applyAlignment="1">
      <alignment horizontal="center" vertical="center" wrapText="1"/>
    </xf>
    <xf numFmtId="43" fontId="0" fillId="8" borderId="5" xfId="1" applyFont="1" applyFill="1" applyBorder="1" applyAlignment="1">
      <alignment horizontal="center" vertical="center" wrapText="1"/>
    </xf>
    <xf numFmtId="0" fontId="0" fillId="37" borderId="7" xfId="0" applyFill="1" applyBorder="1" applyAlignment="1">
      <alignment horizontal="center" vertical="center"/>
    </xf>
    <xf numFmtId="0" fontId="0" fillId="37" borderId="5" xfId="0" applyFill="1" applyBorder="1" applyAlignment="1">
      <alignment horizontal="center" vertical="center"/>
    </xf>
    <xf numFmtId="0" fontId="0" fillId="51" borderId="7" xfId="0" applyFill="1" applyBorder="1" applyAlignment="1">
      <alignment horizontal="center" vertical="center" wrapText="1"/>
    </xf>
    <xf numFmtId="0" fontId="0" fillId="51" borderId="8" xfId="0" applyFill="1" applyBorder="1" applyAlignment="1">
      <alignment horizontal="center" vertical="center" wrapText="1"/>
    </xf>
    <xf numFmtId="0" fontId="0" fillId="51" borderId="5" xfId="0" applyFill="1" applyBorder="1" applyAlignment="1">
      <alignment horizontal="center" vertical="center" wrapText="1"/>
    </xf>
    <xf numFmtId="0" fontId="0" fillId="51" borderId="7" xfId="0" applyFill="1" applyBorder="1" applyAlignment="1">
      <alignment horizontal="center" vertical="center"/>
    </xf>
    <xf numFmtId="0" fontId="0" fillId="51" borderId="8" xfId="0" applyFill="1" applyBorder="1" applyAlignment="1">
      <alignment horizontal="center" vertical="center"/>
    </xf>
    <xf numFmtId="0" fontId="0" fillId="51" borderId="5" xfId="0" applyFill="1" applyBorder="1" applyAlignment="1">
      <alignment horizontal="center" vertical="center"/>
    </xf>
    <xf numFmtId="0" fontId="0" fillId="51" borderId="4" xfId="0" applyFill="1" applyBorder="1" applyAlignment="1">
      <alignment horizontal="center" vertical="center" wrapText="1"/>
    </xf>
    <xf numFmtId="44" fontId="0" fillId="51" borderId="4" xfId="0" applyNumberFormat="1" applyFill="1" applyBorder="1" applyAlignment="1">
      <alignment horizontal="center" vertical="center"/>
    </xf>
    <xf numFmtId="0" fontId="0" fillId="52" borderId="7" xfId="0" applyFill="1" applyBorder="1" applyAlignment="1">
      <alignment horizontal="center" vertical="center" wrapText="1"/>
    </xf>
    <xf numFmtId="0" fontId="0" fillId="52" borderId="5" xfId="0" applyFill="1" applyBorder="1" applyAlignment="1">
      <alignment horizontal="center" vertical="center" wrapText="1"/>
    </xf>
    <xf numFmtId="43" fontId="0" fillId="52" borderId="7" xfId="1" applyFont="1" applyFill="1" applyBorder="1" applyAlignment="1">
      <alignment horizontal="center" vertical="center" wrapText="1"/>
    </xf>
    <xf numFmtId="43" fontId="0" fillId="52" borderId="5" xfId="1" applyFont="1" applyFill="1" applyBorder="1" applyAlignment="1">
      <alignment horizontal="center" vertical="center" wrapText="1"/>
    </xf>
    <xf numFmtId="0" fontId="0" fillId="39" borderId="4" xfId="0" applyFill="1" applyBorder="1" applyAlignment="1">
      <alignment horizontal="center" vertical="center"/>
    </xf>
    <xf numFmtId="0" fontId="0" fillId="39" borderId="7" xfId="0" applyFill="1" applyBorder="1" applyAlignment="1">
      <alignment horizontal="center" vertical="center"/>
    </xf>
    <xf numFmtId="0" fontId="0" fillId="39" borderId="8" xfId="0" applyFill="1" applyBorder="1" applyAlignment="1">
      <alignment horizontal="center" vertical="center"/>
    </xf>
    <xf numFmtId="0" fontId="0" fillId="39" borderId="5" xfId="0" applyFill="1" applyBorder="1" applyAlignment="1">
      <alignment horizontal="center" vertical="center"/>
    </xf>
    <xf numFmtId="44" fontId="0" fillId="39" borderId="7" xfId="2" applyFont="1" applyFill="1" applyBorder="1" applyAlignment="1">
      <alignment horizontal="center" vertical="center"/>
    </xf>
    <xf numFmtId="44" fontId="0" fillId="39" borderId="8" xfId="2" applyFont="1" applyFill="1" applyBorder="1" applyAlignment="1">
      <alignment horizontal="center" vertical="center"/>
    </xf>
    <xf numFmtId="44" fontId="0" fillId="39" borderId="5" xfId="2" applyFont="1" applyFill="1" applyBorder="1" applyAlignment="1">
      <alignment horizontal="center" vertical="center"/>
    </xf>
    <xf numFmtId="0" fontId="0" fillId="5" borderId="7" xfId="0" applyFill="1" applyBorder="1" applyAlignment="1">
      <alignment horizontal="center" vertical="center" wrapText="1"/>
    </xf>
    <xf numFmtId="0" fontId="0" fillId="5" borderId="8" xfId="0" applyFill="1" applyBorder="1" applyAlignment="1">
      <alignment horizontal="center" vertical="center" wrapText="1"/>
    </xf>
    <xf numFmtId="0" fontId="0" fillId="5" borderId="5" xfId="0" applyFill="1" applyBorder="1" applyAlignment="1">
      <alignment horizontal="center" vertical="center" wrapText="1"/>
    </xf>
    <xf numFmtId="44" fontId="0" fillId="5" borderId="7" xfId="2" applyFont="1" applyFill="1" applyBorder="1" applyAlignment="1">
      <alignment horizontal="center" vertical="center" wrapText="1"/>
    </xf>
    <xf numFmtId="44" fontId="0" fillId="5" borderId="8" xfId="2" applyFont="1" applyFill="1" applyBorder="1" applyAlignment="1">
      <alignment horizontal="center" vertical="center" wrapText="1"/>
    </xf>
    <xf numFmtId="44" fontId="0" fillId="5" borderId="5" xfId="2" applyFont="1" applyFill="1" applyBorder="1" applyAlignment="1">
      <alignment horizontal="center" vertical="center" wrapText="1"/>
    </xf>
    <xf numFmtId="0" fontId="0" fillId="56" borderId="7" xfId="0" applyFill="1" applyBorder="1" applyAlignment="1">
      <alignment horizontal="center" vertical="center"/>
    </xf>
    <xf numFmtId="0" fontId="0" fillId="56" borderId="8" xfId="0" applyFill="1" applyBorder="1" applyAlignment="1">
      <alignment horizontal="center" vertical="center"/>
    </xf>
    <xf numFmtId="0" fontId="0" fillId="56" borderId="5" xfId="0" applyFill="1" applyBorder="1" applyAlignment="1">
      <alignment horizontal="center" vertical="center"/>
    </xf>
    <xf numFmtId="0" fontId="0" fillId="56" borderId="7" xfId="0" applyFill="1" applyBorder="1" applyAlignment="1">
      <alignment horizontal="center" vertical="center" wrapText="1"/>
    </xf>
    <xf numFmtId="0" fontId="0" fillId="56" borderId="8" xfId="0" applyFill="1" applyBorder="1" applyAlignment="1">
      <alignment horizontal="center" vertical="center" wrapText="1"/>
    </xf>
    <xf numFmtId="0" fontId="0" fillId="56" borderId="5" xfId="0" applyFill="1" applyBorder="1" applyAlignment="1">
      <alignment horizontal="center" vertical="center" wrapText="1"/>
    </xf>
    <xf numFmtId="44" fontId="0" fillId="56" borderId="7" xfId="0" applyNumberFormat="1" applyFill="1" applyBorder="1" applyAlignment="1">
      <alignment horizontal="center" vertical="center"/>
    </xf>
    <xf numFmtId="44" fontId="0" fillId="56" borderId="8" xfId="0" applyNumberFormat="1" applyFill="1" applyBorder="1" applyAlignment="1">
      <alignment horizontal="center" vertical="center"/>
    </xf>
    <xf numFmtId="44" fontId="0" fillId="56" borderId="5" xfId="0" applyNumberFormat="1" applyFill="1" applyBorder="1" applyAlignment="1">
      <alignment horizontal="center" vertical="center"/>
    </xf>
    <xf numFmtId="0" fontId="0" fillId="41" borderId="8" xfId="0" applyFill="1" applyBorder="1" applyAlignment="1">
      <alignment horizontal="center" vertical="center" wrapText="1"/>
    </xf>
    <xf numFmtId="167" fontId="0" fillId="41" borderId="7" xfId="0" applyNumberFormat="1" applyFill="1" applyBorder="1" applyAlignment="1">
      <alignment horizontal="center" vertical="center" wrapText="1"/>
    </xf>
    <xf numFmtId="167" fontId="0" fillId="41" borderId="8" xfId="0" applyNumberFormat="1" applyFill="1" applyBorder="1" applyAlignment="1">
      <alignment horizontal="center" vertical="center"/>
    </xf>
    <xf numFmtId="167" fontId="0" fillId="41" borderId="5" xfId="0" applyNumberFormat="1" applyFill="1" applyBorder="1" applyAlignment="1">
      <alignment horizontal="center" vertical="center"/>
    </xf>
    <xf numFmtId="0" fontId="0" fillId="53" borderId="7" xfId="0" applyFill="1" applyBorder="1" applyAlignment="1">
      <alignment horizontal="center" vertical="center"/>
    </xf>
    <xf numFmtId="0" fontId="0" fillId="53" borderId="8" xfId="0" applyFill="1" applyBorder="1" applyAlignment="1">
      <alignment horizontal="center" vertical="center"/>
    </xf>
    <xf numFmtId="0" fontId="0" fillId="53" borderId="5" xfId="0" applyFill="1" applyBorder="1" applyAlignment="1">
      <alignment horizontal="center" vertical="center"/>
    </xf>
    <xf numFmtId="0" fontId="0" fillId="53" borderId="7" xfId="0" applyFill="1" applyBorder="1" applyAlignment="1">
      <alignment horizontal="center" vertical="center" wrapText="1"/>
    </xf>
    <xf numFmtId="0" fontId="0" fillId="53" borderId="8" xfId="0" applyFill="1" applyBorder="1" applyAlignment="1">
      <alignment horizontal="center" vertical="center" wrapText="1"/>
    </xf>
    <xf numFmtId="0" fontId="0" fillId="53" borderId="5" xfId="0" applyFill="1" applyBorder="1" applyAlignment="1">
      <alignment horizontal="center" vertical="center" wrapText="1"/>
    </xf>
    <xf numFmtId="167" fontId="0" fillId="53" borderId="7" xfId="0" applyNumberFormat="1" applyFill="1" applyBorder="1" applyAlignment="1">
      <alignment horizontal="center" vertical="center" wrapText="1"/>
    </xf>
    <xf numFmtId="167" fontId="0" fillId="53" borderId="8" xfId="0" applyNumberFormat="1" applyFill="1" applyBorder="1" applyAlignment="1">
      <alignment horizontal="center" vertical="center" wrapText="1"/>
    </xf>
    <xf numFmtId="167" fontId="0" fillId="53" borderId="5" xfId="0" applyNumberFormat="1" applyFill="1" applyBorder="1" applyAlignment="1">
      <alignment horizontal="center" vertical="center" wrapText="1"/>
    </xf>
    <xf numFmtId="0" fontId="0" fillId="37" borderId="8" xfId="0" applyFill="1" applyBorder="1" applyAlignment="1">
      <alignment horizontal="center" vertical="center"/>
    </xf>
    <xf numFmtId="0" fontId="0" fillId="37" borderId="8" xfId="0" applyFill="1" applyBorder="1" applyAlignment="1">
      <alignment horizontal="center" vertical="center" wrapText="1"/>
    </xf>
    <xf numFmtId="0" fontId="0" fillId="37" borderId="4" xfId="0" applyFill="1" applyBorder="1" applyAlignment="1">
      <alignment horizontal="center" vertical="center"/>
    </xf>
    <xf numFmtId="0" fontId="0" fillId="37" borderId="4" xfId="0" applyFill="1" applyBorder="1" applyAlignment="1">
      <alignment horizontal="center" vertical="center" wrapText="1"/>
    </xf>
    <xf numFmtId="167" fontId="0" fillId="37" borderId="4" xfId="0" applyNumberFormat="1" applyFill="1" applyBorder="1" applyAlignment="1">
      <alignment horizontal="center" vertical="center" wrapText="1"/>
    </xf>
    <xf numFmtId="167" fontId="0" fillId="37" borderId="4" xfId="0" applyNumberFormat="1" applyFill="1" applyBorder="1" applyAlignment="1">
      <alignment horizontal="center" vertical="center"/>
    </xf>
    <xf numFmtId="0" fontId="0" fillId="23" borderId="7" xfId="0" applyFill="1" applyBorder="1" applyAlignment="1">
      <alignment horizontal="center" vertical="center" wrapText="1"/>
    </xf>
    <xf numFmtId="0" fontId="0" fillId="23" borderId="8" xfId="0" applyFill="1" applyBorder="1" applyAlignment="1">
      <alignment horizontal="center" vertical="center" wrapText="1"/>
    </xf>
    <xf numFmtId="0" fontId="0" fillId="23" borderId="5" xfId="0" applyFill="1" applyBorder="1" applyAlignment="1">
      <alignment horizontal="center" vertical="center" wrapText="1"/>
    </xf>
    <xf numFmtId="167" fontId="0" fillId="23" borderId="7" xfId="0" applyNumberFormat="1" applyFill="1" applyBorder="1" applyAlignment="1">
      <alignment horizontal="center" vertical="center" wrapText="1"/>
    </xf>
    <xf numFmtId="167" fontId="0" fillId="23" borderId="8" xfId="0" applyNumberFormat="1" applyFill="1" applyBorder="1" applyAlignment="1">
      <alignment horizontal="center" vertical="center" wrapText="1"/>
    </xf>
    <xf numFmtId="167" fontId="0" fillId="23" borderId="5" xfId="0" applyNumberFormat="1" applyFill="1" applyBorder="1" applyAlignment="1">
      <alignment horizontal="center" vertical="center" wrapText="1"/>
    </xf>
    <xf numFmtId="0" fontId="0" fillId="40" borderId="8" xfId="0" applyFill="1" applyBorder="1" applyAlignment="1">
      <alignment horizontal="center" vertical="center" wrapText="1"/>
    </xf>
    <xf numFmtId="167" fontId="0" fillId="40" borderId="7" xfId="0" applyNumberFormat="1" applyFill="1" applyBorder="1" applyAlignment="1">
      <alignment horizontal="center" vertical="center" wrapText="1"/>
    </xf>
    <xf numFmtId="167" fontId="0" fillId="40" borderId="8" xfId="0" applyNumberFormat="1" applyFill="1" applyBorder="1" applyAlignment="1">
      <alignment horizontal="center" vertical="center" wrapText="1"/>
    </xf>
    <xf numFmtId="167" fontId="0" fillId="40" borderId="5" xfId="0" applyNumberForma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5" xfId="0" applyFont="1" applyFill="1" applyBorder="1" applyAlignment="1">
      <alignment horizontal="center" vertical="center" wrapText="1"/>
    </xf>
    <xf numFmtId="167" fontId="0" fillId="4" borderId="7" xfId="0" applyNumberFormat="1" applyFill="1" applyBorder="1" applyAlignment="1">
      <alignment horizontal="center" vertical="center"/>
    </xf>
    <xf numFmtId="167" fontId="0" fillId="4" borderId="8" xfId="0" applyNumberFormat="1" applyFill="1" applyBorder="1" applyAlignment="1">
      <alignment horizontal="center" vertical="center"/>
    </xf>
    <xf numFmtId="167" fontId="0" fillId="4" borderId="5" xfId="0" applyNumberFormat="1" applyFill="1" applyBorder="1" applyAlignment="1">
      <alignment horizontal="center" vertical="center"/>
    </xf>
    <xf numFmtId="0" fontId="0" fillId="9" borderId="4" xfId="0" applyFill="1" applyBorder="1" applyAlignment="1">
      <alignment horizontal="center" vertical="center"/>
    </xf>
    <xf numFmtId="0" fontId="0" fillId="9" borderId="4" xfId="0" applyFill="1" applyBorder="1" applyAlignment="1">
      <alignment horizontal="center" vertical="center" wrapText="1"/>
    </xf>
    <xf numFmtId="44" fontId="0" fillId="9" borderId="4" xfId="0" applyNumberFormat="1" applyFill="1" applyBorder="1" applyAlignment="1">
      <alignment horizontal="center" vertical="center" wrapText="1"/>
    </xf>
    <xf numFmtId="0" fontId="0" fillId="9" borderId="7" xfId="0" applyFill="1" applyBorder="1" applyAlignment="1">
      <alignment horizontal="center" vertical="center" wrapText="1"/>
    </xf>
    <xf numFmtId="0" fontId="0" fillId="9" borderId="8" xfId="0" applyFill="1" applyBorder="1" applyAlignment="1">
      <alignment horizontal="center" vertical="center" wrapText="1"/>
    </xf>
    <xf numFmtId="0" fontId="0" fillId="9" borderId="5" xfId="0" applyFill="1" applyBorder="1" applyAlignment="1">
      <alignment horizontal="center" vertical="center" wrapText="1"/>
    </xf>
    <xf numFmtId="0" fontId="0" fillId="9" borderId="7" xfId="0" applyFill="1" applyBorder="1" applyAlignment="1">
      <alignment horizontal="center" vertical="center"/>
    </xf>
    <xf numFmtId="0" fontId="0" fillId="9" borderId="8" xfId="0" applyFill="1" applyBorder="1" applyAlignment="1">
      <alignment horizontal="center" vertical="center"/>
    </xf>
    <xf numFmtId="0" fontId="0" fillId="9" borderId="5" xfId="0" applyFill="1" applyBorder="1" applyAlignment="1">
      <alignment horizontal="center" vertical="center"/>
    </xf>
    <xf numFmtId="0" fontId="0" fillId="30" borderId="8" xfId="0" applyFill="1" applyBorder="1" applyAlignment="1">
      <alignment horizontal="center" vertical="center" wrapText="1"/>
    </xf>
    <xf numFmtId="167" fontId="0" fillId="30" borderId="7" xfId="0" applyNumberFormat="1" applyFill="1" applyBorder="1" applyAlignment="1">
      <alignment horizontal="center" vertical="center" wrapText="1"/>
    </xf>
    <xf numFmtId="167" fontId="0" fillId="30" borderId="8" xfId="0" applyNumberFormat="1" applyFill="1" applyBorder="1" applyAlignment="1">
      <alignment horizontal="center" vertical="center"/>
    </xf>
    <xf numFmtId="167" fontId="0" fillId="30" borderId="5" xfId="0" applyNumberFormat="1" applyFill="1" applyBorder="1" applyAlignment="1">
      <alignment horizontal="center" vertical="center"/>
    </xf>
    <xf numFmtId="44" fontId="0" fillId="9" borderId="7" xfId="0" applyNumberFormat="1" applyFill="1" applyBorder="1" applyAlignment="1">
      <alignment horizontal="center" vertical="center"/>
    </xf>
    <xf numFmtId="44" fontId="0" fillId="9" borderId="8" xfId="0" applyNumberFormat="1" applyFill="1" applyBorder="1" applyAlignment="1">
      <alignment horizontal="center" vertical="center"/>
    </xf>
    <xf numFmtId="44" fontId="0" fillId="9" borderId="5" xfId="0" applyNumberFormat="1" applyFill="1" applyBorder="1" applyAlignment="1">
      <alignment horizontal="center" vertical="center"/>
    </xf>
    <xf numFmtId="0" fontId="0" fillId="12" borderId="8" xfId="0" applyFill="1" applyBorder="1" applyAlignment="1">
      <alignment horizontal="center" vertical="center" wrapText="1"/>
    </xf>
    <xf numFmtId="167" fontId="0" fillId="12" borderId="7" xfId="0" applyNumberFormat="1" applyFill="1" applyBorder="1" applyAlignment="1">
      <alignment horizontal="center" vertical="center" wrapText="1"/>
    </xf>
    <xf numFmtId="167" fontId="0" fillId="12" borderId="8" xfId="0" applyNumberFormat="1" applyFill="1" applyBorder="1" applyAlignment="1">
      <alignment horizontal="center" vertical="center" wrapText="1"/>
    </xf>
    <xf numFmtId="167" fontId="0" fillId="12" borderId="5" xfId="0" applyNumberFormat="1" applyFill="1" applyBorder="1" applyAlignment="1">
      <alignment horizontal="center" vertical="center" wrapText="1"/>
    </xf>
    <xf numFmtId="0" fontId="0" fillId="12" borderId="7" xfId="0" applyFill="1" applyBorder="1" applyAlignment="1">
      <alignment horizontal="center" vertical="center"/>
    </xf>
    <xf numFmtId="0" fontId="0" fillId="12" borderId="8" xfId="0" applyFill="1" applyBorder="1" applyAlignment="1">
      <alignment horizontal="center" vertical="center"/>
    </xf>
    <xf numFmtId="0" fontId="0" fillId="12" borderId="5" xfId="0" applyFill="1" applyBorder="1" applyAlignment="1">
      <alignment horizontal="center" vertical="center"/>
    </xf>
    <xf numFmtId="0" fontId="0" fillId="8" borderId="8" xfId="0" applyFill="1" applyBorder="1" applyAlignment="1">
      <alignment horizontal="center" vertical="center"/>
    </xf>
    <xf numFmtId="0" fontId="0" fillId="8" borderId="8" xfId="0" applyFill="1" applyBorder="1" applyAlignment="1">
      <alignment horizontal="center" vertical="center" wrapText="1"/>
    </xf>
    <xf numFmtId="0" fontId="0" fillId="8" borderId="4" xfId="0" applyFill="1" applyBorder="1" applyAlignment="1">
      <alignment horizontal="center" vertical="center"/>
    </xf>
    <xf numFmtId="167" fontId="0" fillId="8" borderId="4" xfId="0" applyNumberFormat="1" applyFill="1" applyBorder="1" applyAlignment="1">
      <alignment horizontal="center" vertical="center" wrapText="1"/>
    </xf>
    <xf numFmtId="167" fontId="0" fillId="8" borderId="4" xfId="0" applyNumberFormat="1" applyFill="1" applyBorder="1" applyAlignment="1">
      <alignment horizontal="center" vertical="center"/>
    </xf>
    <xf numFmtId="0" fontId="0" fillId="42" borderId="7" xfId="0" applyFill="1" applyBorder="1" applyAlignment="1">
      <alignment horizontal="center" vertical="center" wrapText="1"/>
    </xf>
    <xf numFmtId="0" fontId="0" fillId="42" borderId="8" xfId="0" applyFill="1" applyBorder="1" applyAlignment="1">
      <alignment horizontal="center" vertical="center" wrapText="1"/>
    </xf>
    <xf numFmtId="0" fontId="0" fillId="42" borderId="5" xfId="0" applyFill="1" applyBorder="1" applyAlignment="1">
      <alignment horizontal="center" vertical="center" wrapText="1"/>
    </xf>
    <xf numFmtId="0" fontId="0" fillId="42" borderId="7" xfId="0" applyFill="1" applyBorder="1" applyAlignment="1">
      <alignment horizontal="center" vertical="center"/>
    </xf>
    <xf numFmtId="0" fontId="0" fillId="42" borderId="8" xfId="0" applyFill="1" applyBorder="1" applyAlignment="1">
      <alignment horizontal="center" vertical="center"/>
    </xf>
    <xf numFmtId="0" fontId="0" fillId="42" borderId="5" xfId="0" applyFill="1" applyBorder="1" applyAlignment="1">
      <alignment horizontal="center" vertical="center"/>
    </xf>
    <xf numFmtId="167" fontId="0" fillId="42" borderId="7" xfId="0" applyNumberFormat="1" applyFill="1" applyBorder="1" applyAlignment="1">
      <alignment horizontal="center" vertical="center"/>
    </xf>
    <xf numFmtId="167" fontId="0" fillId="42" borderId="8" xfId="0" applyNumberFormat="1" applyFill="1" applyBorder="1" applyAlignment="1">
      <alignment horizontal="center" vertical="center"/>
    </xf>
    <xf numFmtId="167" fontId="0" fillId="42" borderId="5" xfId="0" applyNumberFormat="1" applyFill="1" applyBorder="1" applyAlignment="1">
      <alignment horizontal="center" vertical="center"/>
    </xf>
    <xf numFmtId="0" fontId="6" fillId="42" borderId="7" xfId="0" applyFont="1" applyFill="1" applyBorder="1" applyAlignment="1">
      <alignment horizontal="center" vertical="center" wrapText="1"/>
    </xf>
    <xf numFmtId="0" fontId="6" fillId="42" borderId="8" xfId="0" applyFont="1" applyFill="1" applyBorder="1" applyAlignment="1">
      <alignment horizontal="center" vertical="center" wrapText="1"/>
    </xf>
    <xf numFmtId="0" fontId="6" fillId="42" borderId="5" xfId="0" applyFont="1" applyFill="1" applyBorder="1" applyAlignment="1">
      <alignment horizontal="center" vertical="center" wrapText="1"/>
    </xf>
    <xf numFmtId="0" fontId="0" fillId="10" borderId="7" xfId="0" applyFill="1" applyBorder="1" applyAlignment="1">
      <alignment horizontal="center" vertical="center" wrapText="1"/>
    </xf>
    <xf numFmtId="0" fontId="0" fillId="10" borderId="8" xfId="0" applyFill="1" applyBorder="1" applyAlignment="1">
      <alignment horizontal="center" vertical="center" wrapText="1"/>
    </xf>
    <xf numFmtId="0" fontId="0" fillId="10" borderId="5" xfId="0" applyFill="1" applyBorder="1" applyAlignment="1">
      <alignment horizontal="center" vertical="center" wrapText="1"/>
    </xf>
    <xf numFmtId="167" fontId="0" fillId="10" borderId="7" xfId="0" applyNumberFormat="1" applyFill="1" applyBorder="1" applyAlignment="1">
      <alignment horizontal="center" vertical="center" wrapText="1"/>
    </xf>
    <xf numFmtId="167" fontId="0" fillId="10" borderId="8" xfId="0" applyNumberFormat="1" applyFill="1" applyBorder="1" applyAlignment="1">
      <alignment horizontal="center" vertical="center" wrapText="1"/>
    </xf>
    <xf numFmtId="167" fontId="0" fillId="10" borderId="5" xfId="0" applyNumberFormat="1" applyFill="1" applyBorder="1" applyAlignment="1">
      <alignment horizontal="center" vertical="center" wrapText="1"/>
    </xf>
    <xf numFmtId="0" fontId="0" fillId="2" borderId="7" xfId="0" applyFill="1" applyBorder="1" applyAlignment="1">
      <alignment horizontal="center" vertical="center" wrapText="1"/>
    </xf>
    <xf numFmtId="0" fontId="0" fillId="2" borderId="5" xfId="0"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0" fillId="44" borderId="4" xfId="0" applyFill="1" applyBorder="1" applyAlignment="1">
      <alignment horizontal="center" vertical="center" wrapText="1"/>
    </xf>
    <xf numFmtId="44" fontId="0" fillId="44" borderId="4" xfId="0" applyNumberFormat="1" applyFill="1" applyBorder="1" applyAlignment="1">
      <alignment horizontal="center" vertical="center" wrapText="1"/>
    </xf>
    <xf numFmtId="0" fontId="0" fillId="44" borderId="4" xfId="0" applyFill="1" applyBorder="1" applyAlignment="1">
      <alignment horizontal="center" vertical="center"/>
    </xf>
    <xf numFmtId="167" fontId="0" fillId="37" borderId="7" xfId="0" applyNumberFormat="1" applyFill="1" applyBorder="1" applyAlignment="1">
      <alignment horizontal="center" vertical="center" wrapText="1"/>
    </xf>
    <xf numFmtId="167" fontId="0" fillId="37" borderId="8" xfId="0" applyNumberFormat="1" applyFill="1" applyBorder="1" applyAlignment="1">
      <alignment horizontal="center" vertical="center" wrapText="1"/>
    </xf>
    <xf numFmtId="167" fontId="0" fillId="37" borderId="5" xfId="0" applyNumberFormat="1" applyFill="1" applyBorder="1" applyAlignment="1">
      <alignment horizontal="center" vertical="center" wrapText="1"/>
    </xf>
    <xf numFmtId="0" fontId="0" fillId="0" borderId="4" xfId="0" applyBorder="1" applyAlignment="1">
      <alignment horizontal="center"/>
    </xf>
  </cellXfs>
  <cellStyles count="4">
    <cellStyle name="Millares" xfId="1" builtinId="3"/>
    <cellStyle name="Moneda" xfId="2" builtinId="4"/>
    <cellStyle name="Normal" xfId="0" builtinId="0"/>
    <cellStyle name="Porcentaje" xfId="3" builtinId="5"/>
  </cellStyles>
  <dxfs count="0"/>
  <tableStyles count="0" defaultTableStyle="TableStyleMedium9" defaultPivotStyle="PivotStyleLight16"/>
  <colors>
    <mruColors>
      <color rgb="FFCCFFFF"/>
      <color rgb="FFCCFF66"/>
      <color rgb="FFFFCCCC"/>
      <color rgb="FFFFFF66"/>
      <color rgb="FF99CCFF"/>
      <color rgb="FF99FFCC"/>
      <color rgb="FF9999FF"/>
      <color rgb="FFFFCC99"/>
      <color rgb="FFFF99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AVANCE PROYECTOS </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comparacion!$N$3</c:f>
              <c:strCache>
                <c:ptCount val="1"/>
                <c:pt idx="0">
                  <c:v>VR PROYECTO</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comparacion!$AE$1:$AE$13</c:f>
              <c:strCache>
                <c:ptCount val="3"/>
                <c:pt idx="0">
                  <c:v>DOTACIÓN ESPECTRÓMETRO </c:v>
                </c:pt>
                <c:pt idx="1">
                  <c:v> 7 LÍNEAS PRODUCTIVAS </c:v>
                </c:pt>
                <c:pt idx="2">
                  <c:v> MOSOCO</c:v>
                </c:pt>
              </c:strCache>
            </c:strRef>
          </c:cat>
          <c:val>
            <c:numRef>
              <c:f>comparacion!$N$12:$N$16</c:f>
            </c:numRef>
          </c:val>
        </c:ser>
        <c:ser>
          <c:idx val="1"/>
          <c:order val="1"/>
          <c:tx>
            <c:strRef>
              <c:f>comparacion!$O$3</c:f>
              <c:strCache>
                <c:ptCount val="1"/>
                <c:pt idx="0">
                  <c:v>VR APORTE DEPARTAMENTO </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comparacion!$AE$1:$AE$13</c:f>
              <c:strCache>
                <c:ptCount val="3"/>
                <c:pt idx="0">
                  <c:v>DOTACIÓN ESPECTRÓMETRO </c:v>
                </c:pt>
                <c:pt idx="1">
                  <c:v> 7 LÍNEAS PRODUCTIVAS </c:v>
                </c:pt>
                <c:pt idx="2">
                  <c:v> MOSOCO</c:v>
                </c:pt>
              </c:strCache>
            </c:strRef>
          </c:cat>
          <c:val>
            <c:numRef>
              <c:f>comparacion!$O$12:$O$16</c:f>
            </c:numRef>
          </c:val>
        </c:ser>
        <c:ser>
          <c:idx val="2"/>
          <c:order val="2"/>
          <c:tx>
            <c:strRef>
              <c:f>comparacion!$P$3</c:f>
              <c:strCache>
                <c:ptCount val="1"/>
                <c:pt idx="0">
                  <c:v>VALOR EJECUTADO </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comparacion!$AE$1:$AE$13</c:f>
              <c:strCache>
                <c:ptCount val="3"/>
                <c:pt idx="0">
                  <c:v>DOTACIÓN ESPECTRÓMETRO </c:v>
                </c:pt>
                <c:pt idx="1">
                  <c:v> 7 LÍNEAS PRODUCTIVAS </c:v>
                </c:pt>
                <c:pt idx="2">
                  <c:v> MOSOCO</c:v>
                </c:pt>
              </c:strCache>
            </c:strRef>
          </c:cat>
          <c:val>
            <c:numRef>
              <c:f>comparacion!$P$12:$P$16</c:f>
            </c:numRef>
          </c:val>
        </c:ser>
        <c:dLbls>
          <c:showLegendKey val="0"/>
          <c:showVal val="1"/>
          <c:showCatName val="0"/>
          <c:showSerName val="0"/>
          <c:showPercent val="0"/>
          <c:showBubbleSize val="0"/>
        </c:dLbls>
        <c:gapWidth val="100"/>
        <c:overlap val="-24"/>
        <c:axId val="199085184"/>
        <c:axId val="199135016"/>
      </c:barChart>
      <c:catAx>
        <c:axId val="19908518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9135016"/>
        <c:crosses val="autoZero"/>
        <c:auto val="1"/>
        <c:lblAlgn val="ctr"/>
        <c:lblOffset val="100"/>
        <c:noMultiLvlLbl val="0"/>
      </c:catAx>
      <c:valAx>
        <c:axId val="199135016"/>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908518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56" l="0.70000000000000051" r="0.70000000000000051" t="0.75000000000000056" header="0.30000000000000027" footer="0.30000000000000027"/>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634514435695541"/>
          <c:y val="9.950240594925655E-2"/>
          <c:w val="0.74032152230971204"/>
          <c:h val="0.73577136191309489"/>
        </c:manualLayout>
      </c:layout>
      <c:barChart>
        <c:barDir val="col"/>
        <c:grouping val="clustered"/>
        <c:varyColors val="0"/>
        <c:ser>
          <c:idx val="1"/>
          <c:order val="0"/>
          <c:spPr>
            <a:solidFill>
              <a:schemeClr val="accent2"/>
            </a:solidFill>
            <a:ln>
              <a:noFill/>
            </a:ln>
            <a:effectLst/>
          </c:spPr>
          <c:invertIfNegative val="0"/>
          <c:val>
            <c:numRef>
              <c:f>comparacion!$U$12:$U$16</c:f>
            </c:numRef>
          </c:val>
        </c:ser>
        <c:ser>
          <c:idx val="0"/>
          <c:order val="1"/>
          <c:tx>
            <c:strRef>
              <c:f>comparacion!$E$3</c:f>
              <c:strCache>
                <c:ptCount val="1"/>
                <c:pt idx="0">
                  <c:v>VR PROYECTO</c:v>
                </c:pt>
              </c:strCache>
            </c:strRef>
          </c:tx>
          <c:spPr>
            <a:solidFill>
              <a:schemeClr val="accent1"/>
            </a:solidFill>
            <a:ln>
              <a:noFill/>
            </a:ln>
            <a:effectLst/>
          </c:spPr>
          <c:invertIfNegative val="0"/>
          <c:val>
            <c:numRef>
              <c:f>comparacion!$E$12:$E$16</c:f>
            </c:numRef>
          </c:val>
        </c:ser>
        <c:ser>
          <c:idx val="2"/>
          <c:order val="2"/>
          <c:tx>
            <c:strRef>
              <c:f>comparacion!$F$3</c:f>
              <c:strCache>
                <c:ptCount val="1"/>
                <c:pt idx="0">
                  <c:v>VR APORTE DEPARTAMENTO </c:v>
                </c:pt>
              </c:strCache>
            </c:strRef>
          </c:tx>
          <c:spPr>
            <a:solidFill>
              <a:schemeClr val="accent3"/>
            </a:solidFill>
            <a:ln>
              <a:noFill/>
            </a:ln>
            <a:effectLst/>
          </c:spPr>
          <c:invertIfNegative val="0"/>
          <c:val>
            <c:numRef>
              <c:f>comparacion!$F$12:$F$16</c:f>
            </c:numRef>
          </c:val>
        </c:ser>
        <c:ser>
          <c:idx val="3"/>
          <c:order val="3"/>
          <c:tx>
            <c:strRef>
              <c:f>comparacion!$H$3</c:f>
              <c:strCache>
                <c:ptCount val="1"/>
                <c:pt idx="0">
                  <c:v>VALOR EJECUTADO </c:v>
                </c:pt>
              </c:strCache>
            </c:strRef>
          </c:tx>
          <c:spPr>
            <a:solidFill>
              <a:schemeClr val="accent4"/>
            </a:solidFill>
            <a:ln>
              <a:noFill/>
            </a:ln>
            <a:effectLst/>
          </c:spPr>
          <c:invertIfNegative val="0"/>
          <c:val>
            <c:numRef>
              <c:f>comparacion!$H$12:$H$16</c:f>
            </c:numRef>
          </c:val>
        </c:ser>
        <c:dLbls>
          <c:showLegendKey val="0"/>
          <c:showVal val="0"/>
          <c:showCatName val="0"/>
          <c:showSerName val="0"/>
          <c:showPercent val="0"/>
          <c:showBubbleSize val="0"/>
        </c:dLbls>
        <c:gapWidth val="219"/>
        <c:overlap val="-27"/>
        <c:axId val="199067472"/>
        <c:axId val="199471008"/>
      </c:barChart>
      <c:catAx>
        <c:axId val="199067472"/>
        <c:scaling>
          <c:orientation val="minMax"/>
        </c:scaling>
        <c:delete val="0"/>
        <c:axPos val="b"/>
        <c:numFmt formatCode="_(&quot;$&quot;\ * #.##0_);_(&quot;$&quot;\ * \(#.##0\);_(&quot;$&quot;\ * &quot;-&quot;??_);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9471008"/>
        <c:crossesAt val="0"/>
        <c:auto val="1"/>
        <c:lblAlgn val="ctr"/>
        <c:lblOffset val="100"/>
        <c:noMultiLvlLbl val="0"/>
      </c:catAx>
      <c:valAx>
        <c:axId val="199471008"/>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 #,##0_);_(&quot;$&quot;\ * \(#,##0\);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90674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56" l="0.70000000000000051" r="0.70000000000000051" t="0.75000000000000056" header="0.30000000000000027" footer="0.30000000000000027"/>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24</xdr:col>
      <xdr:colOff>740834</xdr:colOff>
      <xdr:row>2</xdr:row>
      <xdr:rowOff>127001</xdr:rowOff>
    </xdr:from>
    <xdr:to>
      <xdr:col>30</xdr:col>
      <xdr:colOff>3534834</xdr:colOff>
      <xdr:row>16</xdr:row>
      <xdr:rowOff>0</xdr:rowOff>
    </xdr:to>
    <xdr:graphicFrame macro="">
      <xdr:nvGraphicFramePr>
        <xdr:cNvPr id="24" name="Gráfico 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1830919</xdr:colOff>
      <xdr:row>11</xdr:row>
      <xdr:rowOff>95250</xdr:rowOff>
    </xdr:from>
    <xdr:to>
      <xdr:col>18</xdr:col>
      <xdr:colOff>772584</xdr:colOff>
      <xdr:row>16</xdr:row>
      <xdr:rowOff>0</xdr:rowOff>
    </xdr:to>
    <xdr:graphicFrame macro="">
      <xdr:nvGraphicFramePr>
        <xdr:cNvPr id="12" name="Gráfico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4"/>
  <sheetViews>
    <sheetView zoomScale="90" zoomScaleNormal="90" workbookViewId="0">
      <selection activeCell="C136" sqref="C136:F152"/>
    </sheetView>
  </sheetViews>
  <sheetFormatPr baseColWidth="10" defaultRowHeight="15" x14ac:dyDescent="0.25"/>
  <cols>
    <col min="1" max="1" width="11.42578125" style="4"/>
    <col min="4" max="4" width="67.140625" customWidth="1"/>
    <col min="5" max="5" width="9" customWidth="1"/>
    <col min="6" max="6" width="12.7109375" customWidth="1"/>
  </cols>
  <sheetData>
    <row r="1" spans="1:8" ht="15.75" thickBot="1" x14ac:dyDescent="0.3"/>
    <row r="2" spans="1:8" ht="44.25" customHeight="1" x14ac:dyDescent="0.25">
      <c r="A2" s="4">
        <v>1</v>
      </c>
      <c r="B2" s="47" t="s">
        <v>721</v>
      </c>
      <c r="C2" s="57" t="s">
        <v>798</v>
      </c>
      <c r="D2" s="44" t="s">
        <v>9</v>
      </c>
      <c r="E2" s="45" t="s">
        <v>799</v>
      </c>
      <c r="F2" s="46" t="s">
        <v>800</v>
      </c>
    </row>
    <row r="3" spans="1:8" ht="68.25" customHeight="1" x14ac:dyDescent="0.25">
      <c r="B3" s="47">
        <v>1</v>
      </c>
      <c r="C3" s="6" t="s">
        <v>35</v>
      </c>
      <c r="D3" s="6" t="s">
        <v>38</v>
      </c>
      <c r="E3" s="47">
        <v>100</v>
      </c>
      <c r="F3" s="47">
        <v>100</v>
      </c>
    </row>
    <row r="4" spans="1:8" ht="54" customHeight="1" x14ac:dyDescent="0.25">
      <c r="B4" s="47">
        <f>B3+1</f>
        <v>2</v>
      </c>
      <c r="C4" s="6" t="s">
        <v>34</v>
      </c>
      <c r="D4" s="6" t="s">
        <v>37</v>
      </c>
      <c r="E4" s="47">
        <v>20</v>
      </c>
      <c r="F4" s="47">
        <v>40</v>
      </c>
    </row>
    <row r="5" spans="1:8" ht="70.5" customHeight="1" x14ac:dyDescent="0.25">
      <c r="B5" s="47">
        <f t="shared" ref="B5:B12" si="0">B4+1</f>
        <v>3</v>
      </c>
      <c r="C5" s="6" t="s">
        <v>48</v>
      </c>
      <c r="D5" s="6" t="s">
        <v>55</v>
      </c>
      <c r="E5" s="47">
        <v>100</v>
      </c>
      <c r="F5" s="47">
        <v>40</v>
      </c>
    </row>
    <row r="6" spans="1:8" ht="45" customHeight="1" x14ac:dyDescent="0.25">
      <c r="B6" s="47">
        <f t="shared" si="0"/>
        <v>4</v>
      </c>
      <c r="C6" s="6" t="s">
        <v>49</v>
      </c>
      <c r="D6" s="6" t="s">
        <v>56</v>
      </c>
      <c r="E6" s="47">
        <v>100</v>
      </c>
      <c r="F6" s="47">
        <v>100</v>
      </c>
    </row>
    <row r="7" spans="1:8" ht="61.5" customHeight="1" x14ac:dyDescent="0.25">
      <c r="B7" s="47">
        <f t="shared" si="0"/>
        <v>5</v>
      </c>
      <c r="C7" s="6" t="s">
        <v>50</v>
      </c>
      <c r="D7" s="6" t="s">
        <v>57</v>
      </c>
      <c r="E7" s="47">
        <v>100</v>
      </c>
      <c r="F7" s="47">
        <v>75.599999999999994</v>
      </c>
    </row>
    <row r="8" spans="1:8" ht="89.25" customHeight="1" x14ac:dyDescent="0.25">
      <c r="B8" s="47">
        <f t="shared" si="0"/>
        <v>6</v>
      </c>
      <c r="C8" s="6" t="s">
        <v>51</v>
      </c>
      <c r="D8" s="6" t="s">
        <v>58</v>
      </c>
      <c r="E8" s="47">
        <v>80</v>
      </c>
      <c r="F8" s="47">
        <v>40</v>
      </c>
    </row>
    <row r="9" spans="1:8" ht="81" customHeight="1" x14ac:dyDescent="0.25">
      <c r="B9" s="47">
        <f t="shared" si="0"/>
        <v>7</v>
      </c>
      <c r="C9" s="6" t="s">
        <v>52</v>
      </c>
      <c r="D9" s="6" t="s">
        <v>59</v>
      </c>
      <c r="E9" s="47">
        <v>95</v>
      </c>
      <c r="F9" s="47">
        <v>54.8</v>
      </c>
    </row>
    <row r="10" spans="1:8" ht="60.75" customHeight="1" x14ac:dyDescent="0.25">
      <c r="B10" s="47">
        <f t="shared" si="0"/>
        <v>8</v>
      </c>
      <c r="C10" s="6" t="s">
        <v>53</v>
      </c>
      <c r="D10" s="6" t="s">
        <v>60</v>
      </c>
      <c r="E10" s="47">
        <v>85</v>
      </c>
      <c r="F10" s="47">
        <v>40</v>
      </c>
    </row>
    <row r="11" spans="1:8" ht="48.75" customHeight="1" x14ac:dyDescent="0.25">
      <c r="B11" s="47">
        <f t="shared" si="0"/>
        <v>9</v>
      </c>
      <c r="C11" s="6" t="s">
        <v>262</v>
      </c>
      <c r="D11" s="6" t="s">
        <v>270</v>
      </c>
      <c r="E11" s="47">
        <v>100</v>
      </c>
      <c r="F11" s="48">
        <v>100</v>
      </c>
    </row>
    <row r="12" spans="1:8" ht="65.25" customHeight="1" x14ac:dyDescent="0.25">
      <c r="B12" s="47">
        <f t="shared" si="0"/>
        <v>10</v>
      </c>
      <c r="C12" s="6" t="s">
        <v>54</v>
      </c>
      <c r="D12" s="6" t="s">
        <v>61</v>
      </c>
      <c r="E12" s="49">
        <v>100</v>
      </c>
      <c r="F12" s="49">
        <v>64.900000000000006</v>
      </c>
    </row>
    <row r="13" spans="1:8" ht="20.25" customHeight="1" x14ac:dyDescent="0.25">
      <c r="B13" s="50"/>
      <c r="C13" s="50"/>
      <c r="D13" s="58" t="s">
        <v>801</v>
      </c>
      <c r="E13" s="47">
        <f>SUM(E3:E12)/10</f>
        <v>88</v>
      </c>
      <c r="F13" s="58">
        <f>SUM(F3:F12)/10</f>
        <v>65.53</v>
      </c>
    </row>
    <row r="14" spans="1:8" ht="57" customHeight="1" thickBot="1" x14ac:dyDescent="0.3">
      <c r="B14" s="55"/>
      <c r="C14" s="55"/>
      <c r="D14" s="55"/>
      <c r="E14" s="56"/>
      <c r="F14" s="56"/>
    </row>
    <row r="15" spans="1:8" ht="45" x14ac:dyDescent="0.25">
      <c r="A15" s="4">
        <v>2</v>
      </c>
      <c r="C15" s="57" t="s">
        <v>798</v>
      </c>
      <c r="D15" s="44" t="s">
        <v>9</v>
      </c>
      <c r="E15" s="45" t="s">
        <v>799</v>
      </c>
      <c r="F15" s="46" t="s">
        <v>800</v>
      </c>
    </row>
    <row r="16" spans="1:8" ht="45" customHeight="1" x14ac:dyDescent="0.25">
      <c r="B16" s="125">
        <v>1</v>
      </c>
      <c r="C16" s="6" t="s">
        <v>90</v>
      </c>
      <c r="D16" s="6" t="s">
        <v>89</v>
      </c>
      <c r="E16" s="47">
        <v>100</v>
      </c>
      <c r="F16" s="47">
        <v>100</v>
      </c>
      <c r="G16" s="51"/>
      <c r="H16" s="52"/>
    </row>
    <row r="17" spans="2:8" ht="66.75" customHeight="1" x14ac:dyDescent="0.25">
      <c r="B17" s="125">
        <f>B16+1</f>
        <v>2</v>
      </c>
      <c r="C17" s="6" t="s">
        <v>91</v>
      </c>
      <c r="D17" s="6" t="s">
        <v>127</v>
      </c>
      <c r="E17" s="47">
        <v>100</v>
      </c>
      <c r="F17" s="35">
        <v>64.60000195861447</v>
      </c>
      <c r="G17" s="51"/>
      <c r="H17" s="52"/>
    </row>
    <row r="18" spans="2:8" ht="38.25" customHeight="1" x14ac:dyDescent="0.25">
      <c r="B18" s="125">
        <f t="shared" ref="B18:B33" si="1">B17+1</f>
        <v>3</v>
      </c>
      <c r="C18" s="6" t="s">
        <v>92</v>
      </c>
      <c r="D18" s="6" t="s">
        <v>82</v>
      </c>
      <c r="E18" s="47">
        <v>80</v>
      </c>
      <c r="F18" s="35">
        <v>40.000000000000007</v>
      </c>
      <c r="G18" s="51"/>
      <c r="H18" s="52"/>
    </row>
    <row r="19" spans="2:8" ht="60" x14ac:dyDescent="0.25">
      <c r="B19" s="125">
        <f t="shared" si="1"/>
        <v>4</v>
      </c>
      <c r="C19" s="6" t="s">
        <v>93</v>
      </c>
      <c r="D19" s="6" t="s">
        <v>126</v>
      </c>
      <c r="E19" s="47">
        <v>90</v>
      </c>
      <c r="F19" s="35">
        <v>40</v>
      </c>
      <c r="G19" s="51"/>
      <c r="H19" s="52"/>
    </row>
    <row r="20" spans="2:8" ht="36" customHeight="1" x14ac:dyDescent="0.25">
      <c r="B20" s="125">
        <f t="shared" si="1"/>
        <v>5</v>
      </c>
      <c r="C20" s="6" t="s">
        <v>96</v>
      </c>
      <c r="D20" s="6" t="s">
        <v>83</v>
      </c>
      <c r="E20" s="47">
        <v>90</v>
      </c>
      <c r="F20" s="35">
        <v>40</v>
      </c>
      <c r="G20" s="51"/>
      <c r="H20" s="52"/>
    </row>
    <row r="21" spans="2:8" ht="60" x14ac:dyDescent="0.25">
      <c r="B21" s="125">
        <f t="shared" si="1"/>
        <v>6</v>
      </c>
      <c r="C21" s="6" t="s">
        <v>97</v>
      </c>
      <c r="D21" s="6" t="s">
        <v>128</v>
      </c>
      <c r="E21" s="47">
        <v>90</v>
      </c>
      <c r="F21" s="35">
        <v>40.000003293813073</v>
      </c>
      <c r="G21" s="51"/>
      <c r="H21" s="52"/>
    </row>
    <row r="22" spans="2:8" ht="30" x14ac:dyDescent="0.25">
      <c r="B22" s="125">
        <f t="shared" si="1"/>
        <v>7</v>
      </c>
      <c r="C22" s="6" t="s">
        <v>99</v>
      </c>
      <c r="D22" s="6" t="s">
        <v>84</v>
      </c>
      <c r="E22" s="47">
        <v>80</v>
      </c>
      <c r="F22" s="35">
        <v>40</v>
      </c>
      <c r="G22" s="51"/>
      <c r="H22" s="52"/>
    </row>
    <row r="23" spans="2:8" ht="45" x14ac:dyDescent="0.25">
      <c r="B23" s="125">
        <f t="shared" si="1"/>
        <v>8</v>
      </c>
      <c r="C23" s="6" t="s">
        <v>100</v>
      </c>
      <c r="D23" s="6" t="s">
        <v>124</v>
      </c>
      <c r="E23" s="47">
        <v>100</v>
      </c>
      <c r="F23" s="35">
        <v>40</v>
      </c>
      <c r="G23" s="51"/>
      <c r="H23" s="52"/>
    </row>
    <row r="24" spans="2:8" ht="75" x14ac:dyDescent="0.25">
      <c r="B24" s="125">
        <f t="shared" si="1"/>
        <v>9</v>
      </c>
      <c r="C24" s="6">
        <v>875</v>
      </c>
      <c r="D24" s="6" t="s">
        <v>129</v>
      </c>
      <c r="E24" s="47">
        <v>100</v>
      </c>
      <c r="F24" s="35">
        <v>40</v>
      </c>
      <c r="G24" s="53"/>
      <c r="H24" s="52"/>
    </row>
    <row r="25" spans="2:8" ht="45" x14ac:dyDescent="0.25">
      <c r="B25" s="125">
        <f t="shared" si="1"/>
        <v>10</v>
      </c>
      <c r="C25" s="6" t="s">
        <v>102</v>
      </c>
      <c r="D25" s="6" t="s">
        <v>85</v>
      </c>
      <c r="E25" s="47">
        <v>80</v>
      </c>
      <c r="F25" s="35">
        <v>60.932918728014236</v>
      </c>
      <c r="G25" s="51"/>
      <c r="H25" s="52"/>
    </row>
    <row r="26" spans="2:8" ht="75" x14ac:dyDescent="0.25">
      <c r="B26" s="125">
        <f t="shared" si="1"/>
        <v>11</v>
      </c>
      <c r="C26" s="6" t="s">
        <v>118</v>
      </c>
      <c r="D26" s="6" t="s">
        <v>130</v>
      </c>
      <c r="E26" s="47">
        <v>100</v>
      </c>
      <c r="F26" s="35">
        <v>93.999998463246627</v>
      </c>
      <c r="G26" s="51"/>
      <c r="H26" s="52"/>
    </row>
    <row r="27" spans="2:8" ht="38.25" customHeight="1" x14ac:dyDescent="0.25">
      <c r="B27" s="125">
        <f t="shared" si="1"/>
        <v>12</v>
      </c>
      <c r="C27" s="6" t="s">
        <v>103</v>
      </c>
      <c r="D27" s="6" t="s">
        <v>86</v>
      </c>
      <c r="E27" s="47">
        <v>90</v>
      </c>
      <c r="F27" s="35">
        <v>40</v>
      </c>
      <c r="G27" s="51"/>
      <c r="H27" s="52"/>
    </row>
    <row r="28" spans="2:8" ht="68.25" customHeight="1" x14ac:dyDescent="0.25">
      <c r="B28" s="125">
        <f t="shared" si="1"/>
        <v>13</v>
      </c>
      <c r="C28" s="6" t="s">
        <v>104</v>
      </c>
      <c r="D28" s="6" t="s">
        <v>131</v>
      </c>
      <c r="E28" s="47">
        <v>100</v>
      </c>
      <c r="F28" s="35">
        <v>40</v>
      </c>
      <c r="G28" s="51"/>
      <c r="H28" s="52"/>
    </row>
    <row r="29" spans="2:8" ht="75" x14ac:dyDescent="0.25">
      <c r="B29" s="125">
        <f t="shared" si="1"/>
        <v>14</v>
      </c>
      <c r="C29" s="6" t="s">
        <v>106</v>
      </c>
      <c r="D29" s="6" t="s">
        <v>87</v>
      </c>
      <c r="E29" s="47">
        <v>90</v>
      </c>
      <c r="F29" s="35">
        <v>99.999970250044655</v>
      </c>
      <c r="G29" s="51"/>
      <c r="H29" s="52"/>
    </row>
    <row r="30" spans="2:8" ht="89.25" customHeight="1" x14ac:dyDescent="0.25">
      <c r="B30" s="125">
        <f t="shared" si="1"/>
        <v>15</v>
      </c>
      <c r="C30" s="6" t="s">
        <v>196</v>
      </c>
      <c r="D30" s="6" t="s">
        <v>197</v>
      </c>
      <c r="E30" s="47">
        <v>40</v>
      </c>
      <c r="F30" s="35">
        <v>100</v>
      </c>
      <c r="G30" s="51"/>
      <c r="H30" s="52"/>
    </row>
    <row r="31" spans="2:8" ht="67.5" customHeight="1" x14ac:dyDescent="0.25">
      <c r="B31" s="125">
        <f t="shared" si="1"/>
        <v>16</v>
      </c>
      <c r="C31" s="6" t="s">
        <v>110</v>
      </c>
      <c r="D31" s="6" t="s">
        <v>108</v>
      </c>
      <c r="E31" s="47">
        <v>90</v>
      </c>
      <c r="F31" s="35">
        <v>39.999987692311478</v>
      </c>
      <c r="G31" s="51"/>
      <c r="H31" s="52"/>
    </row>
    <row r="32" spans="2:8" ht="39.75" customHeight="1" x14ac:dyDescent="0.25">
      <c r="B32" s="125">
        <f t="shared" si="1"/>
        <v>17</v>
      </c>
      <c r="C32" s="6" t="s">
        <v>111</v>
      </c>
      <c r="D32" s="6" t="s">
        <v>88</v>
      </c>
      <c r="E32" s="47">
        <v>100</v>
      </c>
      <c r="F32" s="35">
        <v>100</v>
      </c>
      <c r="G32" s="54"/>
      <c r="H32" s="52"/>
    </row>
    <row r="33" spans="1:8" ht="60" x14ac:dyDescent="0.25">
      <c r="B33" s="125">
        <f t="shared" si="1"/>
        <v>18</v>
      </c>
      <c r="C33" s="6" t="s">
        <v>112</v>
      </c>
      <c r="D33" s="6" t="s">
        <v>132</v>
      </c>
      <c r="E33" s="47">
        <v>100</v>
      </c>
      <c r="F33" s="35">
        <v>100</v>
      </c>
      <c r="G33" s="53"/>
      <c r="H33" s="52"/>
    </row>
    <row r="34" spans="1:8" ht="18" customHeight="1" x14ac:dyDescent="0.25">
      <c r="B34" s="86"/>
      <c r="C34" s="6"/>
      <c r="D34" s="58" t="s">
        <v>801</v>
      </c>
      <c r="E34" s="58">
        <f>SUM(E16:E33)/18</f>
        <v>90</v>
      </c>
      <c r="F34" s="59">
        <f>SUM(F16:F33)/18</f>
        <v>62.196271132558017</v>
      </c>
      <c r="G34" s="53"/>
      <c r="H34" s="52"/>
    </row>
    <row r="35" spans="1:8" x14ac:dyDescent="0.25">
      <c r="B35" s="65"/>
      <c r="C35" s="65"/>
      <c r="D35" s="65"/>
      <c r="E35" s="65"/>
      <c r="F35" s="65"/>
      <c r="G35" s="52"/>
      <c r="H35" s="52"/>
    </row>
    <row r="36" spans="1:8" x14ac:dyDescent="0.25">
      <c r="B36" s="65"/>
      <c r="C36" s="65"/>
      <c r="D36" s="65"/>
      <c r="E36" s="65"/>
      <c r="F36" s="65"/>
      <c r="G36" s="52"/>
      <c r="H36" s="52"/>
    </row>
    <row r="37" spans="1:8" ht="45" x14ac:dyDescent="0.25">
      <c r="A37" s="4">
        <v>3</v>
      </c>
      <c r="B37" s="47" t="s">
        <v>721</v>
      </c>
      <c r="C37" s="60" t="s">
        <v>798</v>
      </c>
      <c r="D37" s="61" t="s">
        <v>9</v>
      </c>
      <c r="E37" s="62" t="s">
        <v>799</v>
      </c>
      <c r="F37" s="62" t="s">
        <v>800</v>
      </c>
    </row>
    <row r="38" spans="1:8" ht="37.5" customHeight="1" x14ac:dyDescent="0.25">
      <c r="B38" s="2">
        <v>1</v>
      </c>
      <c r="C38" s="6" t="s">
        <v>139</v>
      </c>
      <c r="D38" s="6" t="s">
        <v>140</v>
      </c>
      <c r="E38" s="47">
        <v>90</v>
      </c>
      <c r="F38" s="64">
        <v>19.999999924801635</v>
      </c>
    </row>
    <row r="39" spans="1:8" ht="32.25" customHeight="1" x14ac:dyDescent="0.25">
      <c r="B39" s="65"/>
      <c r="C39" s="65"/>
      <c r="D39" s="65"/>
      <c r="E39" s="65"/>
      <c r="F39" s="65"/>
    </row>
    <row r="40" spans="1:8" ht="45" x14ac:dyDescent="0.25">
      <c r="A40" s="4">
        <v>4</v>
      </c>
      <c r="B40" s="47" t="s">
        <v>721</v>
      </c>
      <c r="C40" s="60" t="s">
        <v>798</v>
      </c>
      <c r="D40" s="61" t="s">
        <v>9</v>
      </c>
      <c r="E40" s="62" t="s">
        <v>799</v>
      </c>
      <c r="F40" s="62" t="s">
        <v>800</v>
      </c>
    </row>
    <row r="41" spans="1:8" ht="54.75" customHeight="1" x14ac:dyDescent="0.25">
      <c r="B41" s="47">
        <v>1</v>
      </c>
      <c r="C41" s="6" t="s">
        <v>143</v>
      </c>
      <c r="D41" s="6" t="s">
        <v>145</v>
      </c>
      <c r="E41" s="47">
        <v>100</v>
      </c>
      <c r="F41" s="47">
        <v>40</v>
      </c>
    </row>
    <row r="42" spans="1:8" ht="29.25" customHeight="1" x14ac:dyDescent="0.25">
      <c r="B42" s="67"/>
      <c r="C42" s="67"/>
      <c r="D42" s="67"/>
      <c r="E42" s="67"/>
      <c r="F42" s="67"/>
    </row>
    <row r="43" spans="1:8" ht="45" x14ac:dyDescent="0.25">
      <c r="A43" s="4">
        <v>5</v>
      </c>
      <c r="B43" s="47" t="s">
        <v>721</v>
      </c>
      <c r="C43" s="60" t="s">
        <v>798</v>
      </c>
      <c r="D43" s="61" t="s">
        <v>9</v>
      </c>
      <c r="E43" s="62" t="s">
        <v>799</v>
      </c>
      <c r="F43" s="62" t="s">
        <v>800</v>
      </c>
    </row>
    <row r="44" spans="1:8" ht="47.25" customHeight="1" x14ac:dyDescent="0.25">
      <c r="B44" s="47">
        <v>1</v>
      </c>
      <c r="C44" s="6" t="s">
        <v>148</v>
      </c>
      <c r="D44" s="6" t="s">
        <v>150</v>
      </c>
      <c r="E44" s="47">
        <v>30</v>
      </c>
      <c r="F44" s="64">
        <v>40</v>
      </c>
    </row>
    <row r="45" spans="1:8" ht="66.75" customHeight="1" x14ac:dyDescent="0.25">
      <c r="B45" s="47">
        <v>2</v>
      </c>
      <c r="C45" s="6" t="s">
        <v>153</v>
      </c>
      <c r="D45" s="6" t="s">
        <v>802</v>
      </c>
      <c r="E45" s="47">
        <v>30</v>
      </c>
      <c r="F45" s="47">
        <v>40</v>
      </c>
    </row>
    <row r="46" spans="1:8" ht="21.75" customHeight="1" x14ac:dyDescent="0.25">
      <c r="B46" s="47"/>
      <c r="C46" s="6"/>
      <c r="D46" s="62" t="s">
        <v>803</v>
      </c>
      <c r="E46" s="58">
        <v>30</v>
      </c>
      <c r="F46" s="58">
        <v>40</v>
      </c>
    </row>
    <row r="47" spans="1:8" x14ac:dyDescent="0.25">
      <c r="B47" s="68"/>
      <c r="C47" s="68"/>
      <c r="D47" s="68"/>
      <c r="E47" s="68"/>
      <c r="F47" s="68"/>
    </row>
    <row r="48" spans="1:8" ht="45" x14ac:dyDescent="0.25">
      <c r="A48" s="4">
        <v>6</v>
      </c>
      <c r="B48" s="47" t="s">
        <v>721</v>
      </c>
      <c r="C48" s="60" t="s">
        <v>798</v>
      </c>
      <c r="D48" s="61" t="s">
        <v>9</v>
      </c>
      <c r="E48" s="62" t="s">
        <v>799</v>
      </c>
      <c r="F48" s="62" t="s">
        <v>800</v>
      </c>
    </row>
    <row r="49" spans="1:7" ht="30" x14ac:dyDescent="0.25">
      <c r="B49" s="66">
        <v>1</v>
      </c>
      <c r="C49" s="66" t="s">
        <v>155</v>
      </c>
      <c r="D49" s="66" t="s">
        <v>160</v>
      </c>
      <c r="E49" s="63">
        <v>10</v>
      </c>
      <c r="F49" s="69">
        <v>40.101738320576153</v>
      </c>
      <c r="G49" s="12"/>
    </row>
    <row r="50" spans="1:7" ht="30" x14ac:dyDescent="0.25">
      <c r="B50" s="66">
        <v>2</v>
      </c>
      <c r="C50" s="66" t="s">
        <v>157</v>
      </c>
      <c r="D50" s="66" t="s">
        <v>161</v>
      </c>
      <c r="E50" s="63">
        <v>10</v>
      </c>
      <c r="F50" s="69">
        <v>40.564295131506746</v>
      </c>
      <c r="G50" s="12"/>
    </row>
    <row r="51" spans="1:7" x14ac:dyDescent="0.25">
      <c r="B51" s="66"/>
      <c r="C51" s="66"/>
      <c r="D51" s="62" t="s">
        <v>803</v>
      </c>
      <c r="E51" s="63">
        <v>10</v>
      </c>
      <c r="F51" s="69">
        <f>(F49+F50)/2</f>
        <v>40.33301672604145</v>
      </c>
      <c r="G51" s="12"/>
    </row>
    <row r="52" spans="1:7" ht="21.75" customHeight="1" x14ac:dyDescent="0.25">
      <c r="B52" s="70"/>
      <c r="C52" s="70"/>
      <c r="D52" s="70"/>
      <c r="E52" s="70"/>
      <c r="F52" s="70"/>
    </row>
    <row r="53" spans="1:7" ht="45" x14ac:dyDescent="0.25">
      <c r="A53" s="4">
        <v>7</v>
      </c>
      <c r="B53" s="47" t="s">
        <v>721</v>
      </c>
      <c r="C53" s="60" t="s">
        <v>798</v>
      </c>
      <c r="D53" s="61" t="s">
        <v>9</v>
      </c>
      <c r="E53" s="62" t="s">
        <v>799</v>
      </c>
      <c r="F53" s="62" t="s">
        <v>800</v>
      </c>
    </row>
    <row r="54" spans="1:7" ht="30" x14ac:dyDescent="0.25">
      <c r="B54" s="47">
        <v>1</v>
      </c>
      <c r="C54" s="6" t="s">
        <v>163</v>
      </c>
      <c r="D54" s="6" t="s">
        <v>164</v>
      </c>
      <c r="E54" s="47">
        <v>100</v>
      </c>
      <c r="F54" s="71">
        <v>49.999999930637969</v>
      </c>
    </row>
    <row r="55" spans="1:7" x14ac:dyDescent="0.25">
      <c r="B55" s="72"/>
      <c r="C55" s="72"/>
      <c r="D55" s="72"/>
      <c r="E55" s="72"/>
      <c r="F55" s="72"/>
    </row>
    <row r="56" spans="1:7" x14ac:dyDescent="0.25">
      <c r="B56" s="72"/>
      <c r="C56" s="72"/>
      <c r="D56" s="72"/>
      <c r="E56" s="72"/>
      <c r="F56" s="72"/>
    </row>
    <row r="57" spans="1:7" ht="45" x14ac:dyDescent="0.25">
      <c r="A57" s="4">
        <v>8</v>
      </c>
      <c r="B57" s="47" t="s">
        <v>721</v>
      </c>
      <c r="C57" s="60" t="s">
        <v>798</v>
      </c>
      <c r="D57" s="61" t="s">
        <v>9</v>
      </c>
      <c r="E57" s="62" t="s">
        <v>799</v>
      </c>
      <c r="F57" s="62" t="s">
        <v>800</v>
      </c>
    </row>
    <row r="58" spans="1:7" ht="45" x14ac:dyDescent="0.25">
      <c r="B58" s="6">
        <v>1</v>
      </c>
      <c r="C58" s="6" t="s">
        <v>169</v>
      </c>
      <c r="D58" s="6" t="s">
        <v>184</v>
      </c>
      <c r="E58" s="47">
        <v>80</v>
      </c>
      <c r="F58" s="47">
        <v>40</v>
      </c>
    </row>
    <row r="59" spans="1:7" ht="135" x14ac:dyDescent="0.25">
      <c r="B59" s="6">
        <v>2</v>
      </c>
      <c r="C59" s="6" t="s">
        <v>170</v>
      </c>
      <c r="D59" s="6" t="s">
        <v>185</v>
      </c>
      <c r="E59" s="47">
        <v>80</v>
      </c>
      <c r="F59" s="47">
        <v>50</v>
      </c>
    </row>
    <row r="60" spans="1:7" x14ac:dyDescent="0.25">
      <c r="B60" s="6"/>
      <c r="C60" s="6"/>
      <c r="D60" s="62" t="s">
        <v>801</v>
      </c>
      <c r="E60" s="58">
        <f>(E58+E59)/2</f>
        <v>80</v>
      </c>
      <c r="F60" s="58">
        <f>(F58+F59)/2</f>
        <v>45</v>
      </c>
    </row>
    <row r="61" spans="1:7" ht="24.75" customHeight="1" x14ac:dyDescent="0.25">
      <c r="B61" s="74"/>
      <c r="C61" s="74"/>
      <c r="D61" s="74"/>
      <c r="E61" s="74"/>
      <c r="F61" s="74"/>
    </row>
    <row r="62" spans="1:7" ht="45" x14ac:dyDescent="0.25">
      <c r="A62" s="4">
        <v>9</v>
      </c>
      <c r="B62" s="47" t="s">
        <v>721</v>
      </c>
      <c r="C62" s="60" t="s">
        <v>798</v>
      </c>
      <c r="D62" s="61" t="s">
        <v>9</v>
      </c>
      <c r="E62" s="62" t="s">
        <v>799</v>
      </c>
      <c r="F62" s="62" t="s">
        <v>800</v>
      </c>
    </row>
    <row r="63" spans="1:7" ht="30" x14ac:dyDescent="0.25">
      <c r="B63" s="2">
        <v>1</v>
      </c>
      <c r="C63" s="2"/>
      <c r="D63" s="20" t="s">
        <v>274</v>
      </c>
      <c r="E63" s="2">
        <v>0</v>
      </c>
      <c r="F63" s="2">
        <v>0</v>
      </c>
      <c r="G63" s="73"/>
    </row>
    <row r="64" spans="1:7" x14ac:dyDescent="0.25">
      <c r="B64" s="75"/>
      <c r="C64" s="75"/>
      <c r="D64" s="76"/>
      <c r="E64" s="75"/>
      <c r="F64" s="75"/>
    </row>
    <row r="65" spans="1:6" ht="45" x14ac:dyDescent="0.25">
      <c r="A65" s="4">
        <v>10</v>
      </c>
      <c r="B65" s="47" t="s">
        <v>721</v>
      </c>
      <c r="C65" s="60" t="s">
        <v>798</v>
      </c>
      <c r="D65" s="61" t="s">
        <v>9</v>
      </c>
      <c r="E65" s="62" t="s">
        <v>799</v>
      </c>
      <c r="F65" s="62" t="s">
        <v>800</v>
      </c>
    </row>
    <row r="66" spans="1:6" ht="30" x14ac:dyDescent="0.25">
      <c r="B66" s="2">
        <v>1</v>
      </c>
      <c r="C66" s="2"/>
      <c r="D66" s="14" t="s">
        <v>275</v>
      </c>
      <c r="E66" s="2">
        <v>0</v>
      </c>
      <c r="F66" s="2">
        <v>0</v>
      </c>
    </row>
    <row r="67" spans="1:6" x14ac:dyDescent="0.25">
      <c r="B67" s="77"/>
      <c r="C67" s="77"/>
      <c r="D67" s="78"/>
      <c r="E67" s="77"/>
      <c r="F67" s="77"/>
    </row>
    <row r="68" spans="1:6" ht="45" x14ac:dyDescent="0.25">
      <c r="A68" s="4">
        <v>11</v>
      </c>
      <c r="B68" s="47" t="s">
        <v>721</v>
      </c>
      <c r="C68" s="60" t="s">
        <v>798</v>
      </c>
      <c r="D68" s="61" t="s">
        <v>9</v>
      </c>
      <c r="E68" s="62" t="s">
        <v>799</v>
      </c>
      <c r="F68" s="62" t="s">
        <v>800</v>
      </c>
    </row>
    <row r="69" spans="1:6" ht="45" x14ac:dyDescent="0.25">
      <c r="B69" s="2"/>
      <c r="C69" s="2"/>
      <c r="D69" s="20" t="s">
        <v>734</v>
      </c>
      <c r="E69" s="2">
        <v>0</v>
      </c>
      <c r="F69" s="2">
        <v>0</v>
      </c>
    </row>
    <row r="70" spans="1:6" ht="21.75" customHeight="1" x14ac:dyDescent="0.25">
      <c r="B70" s="79"/>
      <c r="C70" s="79"/>
      <c r="D70" s="80"/>
      <c r="E70" s="79"/>
      <c r="F70" s="79"/>
    </row>
    <row r="71" spans="1:6" ht="45" x14ac:dyDescent="0.25">
      <c r="A71" s="4">
        <v>12</v>
      </c>
      <c r="B71" s="47" t="s">
        <v>721</v>
      </c>
      <c r="C71" s="60" t="s">
        <v>798</v>
      </c>
      <c r="D71" s="61" t="s">
        <v>9</v>
      </c>
      <c r="E71" s="62" t="s">
        <v>799</v>
      </c>
      <c r="F71" s="62" t="s">
        <v>800</v>
      </c>
    </row>
    <row r="72" spans="1:6" ht="30" x14ac:dyDescent="0.25">
      <c r="B72" s="2"/>
      <c r="C72" s="2"/>
      <c r="D72" s="20" t="s">
        <v>443</v>
      </c>
      <c r="E72" s="2">
        <v>0</v>
      </c>
      <c r="F72" s="2">
        <v>0</v>
      </c>
    </row>
    <row r="73" spans="1:6" ht="23.25" customHeight="1" x14ac:dyDescent="0.25">
      <c r="B73" s="81"/>
      <c r="C73" s="81"/>
      <c r="D73" s="82"/>
      <c r="E73" s="81"/>
      <c r="F73" s="81"/>
    </row>
    <row r="74" spans="1:6" ht="45" x14ac:dyDescent="0.25">
      <c r="A74" s="4">
        <v>13</v>
      </c>
      <c r="B74" s="47" t="s">
        <v>721</v>
      </c>
      <c r="C74" s="60" t="s">
        <v>798</v>
      </c>
      <c r="D74" s="61" t="s">
        <v>9</v>
      </c>
      <c r="E74" s="62" t="s">
        <v>799</v>
      </c>
      <c r="F74" s="62" t="s">
        <v>800</v>
      </c>
    </row>
    <row r="75" spans="1:6" ht="45" x14ac:dyDescent="0.25">
      <c r="B75" s="2"/>
      <c r="C75" s="2"/>
      <c r="D75" s="20" t="s">
        <v>276</v>
      </c>
      <c r="E75" s="2">
        <v>0</v>
      </c>
      <c r="F75" s="2">
        <v>0</v>
      </c>
    </row>
    <row r="76" spans="1:6" ht="23.25" customHeight="1" x14ac:dyDescent="0.25">
      <c r="B76" s="83"/>
      <c r="C76" s="83"/>
      <c r="D76" s="83"/>
      <c r="E76" s="83"/>
      <c r="F76" s="83"/>
    </row>
    <row r="77" spans="1:6" ht="45" x14ac:dyDescent="0.25">
      <c r="A77" s="4">
        <v>14</v>
      </c>
      <c r="B77" s="47" t="s">
        <v>721</v>
      </c>
      <c r="C77" s="60" t="s">
        <v>798</v>
      </c>
      <c r="D77" s="61" t="s">
        <v>9</v>
      </c>
      <c r="E77" s="62" t="s">
        <v>799</v>
      </c>
      <c r="F77" s="62" t="s">
        <v>800</v>
      </c>
    </row>
    <row r="78" spans="1:6" ht="75" x14ac:dyDescent="0.25">
      <c r="B78" s="6">
        <v>1</v>
      </c>
      <c r="C78" s="6" t="s">
        <v>770</v>
      </c>
      <c r="D78" s="86" t="s">
        <v>289</v>
      </c>
      <c r="E78" s="47">
        <v>100</v>
      </c>
      <c r="F78" s="47">
        <v>100</v>
      </c>
    </row>
    <row r="79" spans="1:6" ht="105" x14ac:dyDescent="0.25">
      <c r="B79" s="6">
        <f>B78+1</f>
        <v>2</v>
      </c>
      <c r="C79" s="6" t="s">
        <v>294</v>
      </c>
      <c r="D79" s="86" t="s">
        <v>296</v>
      </c>
      <c r="E79" s="47">
        <v>100</v>
      </c>
      <c r="F79" s="47">
        <v>100</v>
      </c>
    </row>
    <row r="80" spans="1:6" ht="60" x14ac:dyDescent="0.25">
      <c r="B80" s="6">
        <f t="shared" ref="B80:B102" si="2">B79+1</f>
        <v>3</v>
      </c>
      <c r="C80" s="6" t="s">
        <v>300</v>
      </c>
      <c r="D80" s="86" t="s">
        <v>302</v>
      </c>
      <c r="E80" s="47">
        <v>100</v>
      </c>
      <c r="F80" s="71">
        <v>98.553349589507548</v>
      </c>
    </row>
    <row r="81" spans="2:6" ht="75" x14ac:dyDescent="0.25">
      <c r="B81" s="6">
        <f t="shared" si="2"/>
        <v>4</v>
      </c>
      <c r="C81" s="6" t="s">
        <v>746</v>
      </c>
      <c r="D81" s="86" t="s">
        <v>306</v>
      </c>
      <c r="E81" s="47">
        <v>100</v>
      </c>
      <c r="F81" s="71">
        <v>99.308538255941031</v>
      </c>
    </row>
    <row r="82" spans="2:6" ht="105" x14ac:dyDescent="0.25">
      <c r="B82" s="6">
        <f t="shared" si="2"/>
        <v>5</v>
      </c>
      <c r="C82" s="6" t="s">
        <v>769</v>
      </c>
      <c r="D82" s="86" t="s">
        <v>308</v>
      </c>
      <c r="E82" s="47">
        <v>100</v>
      </c>
      <c r="F82" s="47">
        <v>100</v>
      </c>
    </row>
    <row r="83" spans="2:6" ht="60" x14ac:dyDescent="0.25">
      <c r="B83" s="6">
        <f t="shared" si="2"/>
        <v>6</v>
      </c>
      <c r="C83" s="6" t="s">
        <v>311</v>
      </c>
      <c r="D83" s="86" t="s">
        <v>313</v>
      </c>
      <c r="E83" s="47">
        <v>100</v>
      </c>
      <c r="F83" s="71">
        <v>98.547570323610003</v>
      </c>
    </row>
    <row r="84" spans="2:6" ht="60" x14ac:dyDescent="0.25">
      <c r="B84" s="6">
        <f t="shared" si="2"/>
        <v>7</v>
      </c>
      <c r="C84" s="6" t="s">
        <v>315</v>
      </c>
      <c r="D84" s="87" t="s">
        <v>317</v>
      </c>
      <c r="E84" s="47">
        <v>100</v>
      </c>
      <c r="F84" s="47">
        <v>100</v>
      </c>
    </row>
    <row r="85" spans="2:6" ht="60" x14ac:dyDescent="0.25">
      <c r="B85" s="6">
        <f t="shared" si="2"/>
        <v>8</v>
      </c>
      <c r="C85" s="6" t="s">
        <v>747</v>
      </c>
      <c r="D85" s="86" t="s">
        <v>313</v>
      </c>
      <c r="E85" s="47">
        <v>100</v>
      </c>
      <c r="F85" s="71">
        <v>99.522219663826846</v>
      </c>
    </row>
    <row r="86" spans="2:6" ht="60" x14ac:dyDescent="0.25">
      <c r="B86" s="6">
        <f t="shared" si="2"/>
        <v>9</v>
      </c>
      <c r="C86" s="6" t="s">
        <v>763</v>
      </c>
      <c r="D86" s="86" t="s">
        <v>321</v>
      </c>
      <c r="E86" s="47">
        <v>100</v>
      </c>
      <c r="F86" s="71">
        <v>97.27046174101126</v>
      </c>
    </row>
    <row r="87" spans="2:6" ht="60" x14ac:dyDescent="0.25">
      <c r="B87" s="6">
        <f t="shared" si="2"/>
        <v>10</v>
      </c>
      <c r="C87" s="6" t="s">
        <v>323</v>
      </c>
      <c r="D87" s="86" t="s">
        <v>325</v>
      </c>
      <c r="E87" s="47">
        <v>100</v>
      </c>
      <c r="F87" s="47">
        <v>100</v>
      </c>
    </row>
    <row r="88" spans="2:6" ht="75" x14ac:dyDescent="0.25">
      <c r="B88" s="6">
        <f t="shared" si="2"/>
        <v>11</v>
      </c>
      <c r="C88" s="6" t="s">
        <v>326</v>
      </c>
      <c r="D88" s="86" t="s">
        <v>328</v>
      </c>
      <c r="E88" s="47">
        <v>100</v>
      </c>
      <c r="F88" s="71">
        <v>99.922440527719814</v>
      </c>
    </row>
    <row r="89" spans="2:6" ht="45" x14ac:dyDescent="0.25">
      <c r="B89" s="6">
        <f t="shared" si="2"/>
        <v>12</v>
      </c>
      <c r="C89" s="6" t="s">
        <v>330</v>
      </c>
      <c r="D89" s="86" t="s">
        <v>332</v>
      </c>
      <c r="E89" s="47">
        <v>100</v>
      </c>
      <c r="F89" s="71">
        <v>92.329545454545453</v>
      </c>
    </row>
    <row r="90" spans="2:6" ht="105" x14ac:dyDescent="0.25">
      <c r="B90" s="6">
        <f t="shared" si="2"/>
        <v>13</v>
      </c>
      <c r="C90" s="6" t="s">
        <v>334</v>
      </c>
      <c r="D90" s="86" t="s">
        <v>296</v>
      </c>
      <c r="E90" s="47">
        <v>100</v>
      </c>
      <c r="F90" s="64">
        <v>95.000021428571429</v>
      </c>
    </row>
    <row r="91" spans="2:6" ht="60" x14ac:dyDescent="0.25">
      <c r="B91" s="6">
        <f t="shared" si="2"/>
        <v>14</v>
      </c>
      <c r="C91" s="6" t="s">
        <v>338</v>
      </c>
      <c r="D91" s="86" t="s">
        <v>313</v>
      </c>
      <c r="E91" s="47">
        <v>100</v>
      </c>
      <c r="F91" s="47">
        <v>100</v>
      </c>
    </row>
    <row r="92" spans="2:6" ht="45" x14ac:dyDescent="0.25">
      <c r="B92" s="6">
        <f t="shared" si="2"/>
        <v>15</v>
      </c>
      <c r="C92" s="6" t="s">
        <v>339</v>
      </c>
      <c r="D92" s="86" t="s">
        <v>341</v>
      </c>
      <c r="E92" s="47">
        <v>100</v>
      </c>
      <c r="F92" s="71">
        <v>86.206896551724142</v>
      </c>
    </row>
    <row r="93" spans="2:6" ht="60" x14ac:dyDescent="0.25">
      <c r="B93" s="6">
        <f t="shared" si="2"/>
        <v>16</v>
      </c>
      <c r="C93" s="6" t="s">
        <v>343</v>
      </c>
      <c r="D93" s="86" t="s">
        <v>345</v>
      </c>
      <c r="E93" s="47">
        <v>100</v>
      </c>
      <c r="F93" s="47">
        <v>100</v>
      </c>
    </row>
    <row r="94" spans="2:6" ht="90" x14ac:dyDescent="0.25">
      <c r="B94" s="6">
        <f t="shared" si="2"/>
        <v>17</v>
      </c>
      <c r="C94" s="6" t="s">
        <v>348</v>
      </c>
      <c r="D94" s="86" t="s">
        <v>349</v>
      </c>
      <c r="E94" s="47">
        <v>100</v>
      </c>
      <c r="F94" s="47">
        <v>100</v>
      </c>
    </row>
    <row r="95" spans="2:6" ht="45" x14ac:dyDescent="0.25">
      <c r="B95" s="6">
        <f t="shared" si="2"/>
        <v>18</v>
      </c>
      <c r="C95" s="6" t="s">
        <v>353</v>
      </c>
      <c r="D95" s="86" t="s">
        <v>355</v>
      </c>
      <c r="E95" s="47">
        <v>100</v>
      </c>
      <c r="F95" s="71">
        <v>98.725506294471813</v>
      </c>
    </row>
    <row r="96" spans="2:6" ht="75" x14ac:dyDescent="0.25">
      <c r="B96" s="6">
        <f t="shared" si="2"/>
        <v>19</v>
      </c>
      <c r="C96" s="6" t="s">
        <v>356</v>
      </c>
      <c r="D96" s="86" t="s">
        <v>358</v>
      </c>
      <c r="E96" s="47">
        <v>100</v>
      </c>
      <c r="F96" s="71">
        <v>98.368486352357323</v>
      </c>
    </row>
    <row r="97" spans="1:11" ht="120" x14ac:dyDescent="0.25">
      <c r="B97" s="6">
        <f t="shared" si="2"/>
        <v>20</v>
      </c>
      <c r="C97" s="6" t="s">
        <v>359</v>
      </c>
      <c r="D97" s="86" t="s">
        <v>361</v>
      </c>
      <c r="E97" s="47">
        <v>100</v>
      </c>
      <c r="F97" s="71">
        <v>97.366625310173703</v>
      </c>
    </row>
    <row r="98" spans="1:11" ht="120" x14ac:dyDescent="0.25">
      <c r="B98" s="6">
        <f t="shared" si="2"/>
        <v>21</v>
      </c>
      <c r="C98" s="6" t="s">
        <v>363</v>
      </c>
      <c r="D98" s="86" t="s">
        <v>361</v>
      </c>
      <c r="E98" s="47">
        <v>100</v>
      </c>
      <c r="F98" s="71">
        <v>94.317835365853654</v>
      </c>
    </row>
    <row r="99" spans="1:11" ht="90" x14ac:dyDescent="0.25">
      <c r="B99" s="6">
        <f t="shared" si="2"/>
        <v>22</v>
      </c>
      <c r="C99" s="6" t="s">
        <v>366</v>
      </c>
      <c r="D99" s="86" t="s">
        <v>368</v>
      </c>
      <c r="E99" s="47">
        <v>100</v>
      </c>
      <c r="F99" s="47">
        <v>100</v>
      </c>
    </row>
    <row r="100" spans="1:11" ht="45" x14ac:dyDescent="0.25">
      <c r="B100" s="6">
        <f t="shared" si="2"/>
        <v>23</v>
      </c>
      <c r="C100" s="6" t="s">
        <v>370</v>
      </c>
      <c r="D100" s="86" t="s">
        <v>447</v>
      </c>
      <c r="E100" s="47">
        <v>50.79</v>
      </c>
      <c r="F100" s="71">
        <v>50.787500000000001</v>
      </c>
    </row>
    <row r="101" spans="1:11" ht="45" x14ac:dyDescent="0.25">
      <c r="B101" s="6">
        <f t="shared" si="2"/>
        <v>24</v>
      </c>
      <c r="C101" s="6" t="s">
        <v>374</v>
      </c>
      <c r="D101" s="86" t="s">
        <v>372</v>
      </c>
      <c r="E101" s="47">
        <v>57.88</v>
      </c>
      <c r="F101" s="71">
        <v>57.875</v>
      </c>
    </row>
    <row r="102" spans="1:11" ht="30" x14ac:dyDescent="0.25">
      <c r="B102" s="6">
        <f t="shared" si="2"/>
        <v>25</v>
      </c>
      <c r="C102" s="6" t="s">
        <v>377</v>
      </c>
      <c r="D102" s="6" t="s">
        <v>379</v>
      </c>
      <c r="E102" s="47">
        <v>100</v>
      </c>
      <c r="F102" s="47">
        <v>100</v>
      </c>
    </row>
    <row r="103" spans="1:11" x14ac:dyDescent="0.25">
      <c r="A103" s="52"/>
      <c r="B103" s="50"/>
      <c r="C103" s="58"/>
      <c r="D103" s="58" t="s">
        <v>801</v>
      </c>
      <c r="E103" s="88">
        <f>SUM(E78:E102)/25</f>
        <v>96.346800000000002</v>
      </c>
      <c r="F103" s="88">
        <f>SUM(F78:F102)/25</f>
        <v>94.564079874372567</v>
      </c>
      <c r="G103" s="85"/>
      <c r="H103" s="85"/>
      <c r="I103" s="85"/>
      <c r="J103" s="85"/>
      <c r="K103" s="85"/>
    </row>
    <row r="104" spans="1:11" x14ac:dyDescent="0.25">
      <c r="A104" s="84"/>
      <c r="B104" s="89"/>
      <c r="C104" s="89"/>
      <c r="D104" s="89"/>
      <c r="E104" s="89"/>
      <c r="F104" s="89"/>
      <c r="G104" s="85"/>
      <c r="H104" s="85"/>
      <c r="I104" s="85"/>
      <c r="J104" s="85"/>
      <c r="K104" s="85"/>
    </row>
    <row r="105" spans="1:11" x14ac:dyDescent="0.25">
      <c r="B105" s="90"/>
      <c r="C105" s="90"/>
      <c r="D105" s="90"/>
      <c r="E105" s="90"/>
      <c r="F105" s="90"/>
    </row>
    <row r="106" spans="1:11" ht="45" x14ac:dyDescent="0.25">
      <c r="A106" s="4">
        <v>15</v>
      </c>
      <c r="B106" s="47" t="s">
        <v>721</v>
      </c>
      <c r="C106" s="60" t="s">
        <v>798</v>
      </c>
      <c r="D106" s="61" t="s">
        <v>9</v>
      </c>
      <c r="E106" s="62" t="s">
        <v>799</v>
      </c>
      <c r="F106" s="62" t="s">
        <v>800</v>
      </c>
    </row>
    <row r="107" spans="1:11" ht="60" x14ac:dyDescent="0.25">
      <c r="B107" s="47">
        <v>1</v>
      </c>
      <c r="C107" s="6" t="s">
        <v>418</v>
      </c>
      <c r="D107" s="6" t="s">
        <v>420</v>
      </c>
      <c r="E107" s="47">
        <v>100</v>
      </c>
      <c r="F107" s="47">
        <v>100</v>
      </c>
    </row>
    <row r="108" spans="1:11" ht="32.25" customHeight="1" x14ac:dyDescent="0.25">
      <c r="B108" s="92"/>
      <c r="C108" s="92"/>
      <c r="D108" s="92"/>
      <c r="E108" s="92"/>
      <c r="F108" s="92"/>
    </row>
    <row r="109" spans="1:11" ht="45" x14ac:dyDescent="0.25">
      <c r="A109" s="4">
        <v>16</v>
      </c>
      <c r="B109" s="47" t="s">
        <v>721</v>
      </c>
      <c r="C109" s="60" t="s">
        <v>798</v>
      </c>
      <c r="D109" s="61" t="s">
        <v>9</v>
      </c>
      <c r="E109" s="62" t="s">
        <v>799</v>
      </c>
      <c r="F109" s="62" t="s">
        <v>800</v>
      </c>
    </row>
    <row r="110" spans="1:11" ht="30" x14ac:dyDescent="0.25">
      <c r="B110" s="6">
        <v>1</v>
      </c>
      <c r="C110" s="6" t="s">
        <v>425</v>
      </c>
      <c r="D110" s="6" t="s">
        <v>427</v>
      </c>
      <c r="E110" s="47">
        <v>100</v>
      </c>
      <c r="F110" s="35">
        <v>100</v>
      </c>
    </row>
    <row r="111" spans="1:11" ht="60" x14ac:dyDescent="0.25">
      <c r="B111" s="6">
        <v>2</v>
      </c>
      <c r="C111" s="6" t="s">
        <v>431</v>
      </c>
      <c r="D111" s="6" t="s">
        <v>433</v>
      </c>
      <c r="E111" s="47">
        <v>100</v>
      </c>
      <c r="F111" s="35">
        <v>100</v>
      </c>
    </row>
    <row r="112" spans="1:11" x14ac:dyDescent="0.25">
      <c r="B112" s="50"/>
      <c r="C112" s="50"/>
      <c r="D112" s="58" t="s">
        <v>801</v>
      </c>
      <c r="E112" s="58">
        <v>100</v>
      </c>
      <c r="F112" s="88">
        <v>100</v>
      </c>
    </row>
    <row r="113" spans="1:6" ht="23.25" customHeight="1" x14ac:dyDescent="0.25">
      <c r="B113" s="93"/>
      <c r="C113" s="93"/>
      <c r="D113" s="93"/>
      <c r="E113" s="93"/>
      <c r="F113" s="93"/>
    </row>
    <row r="115" spans="1:6" ht="45" x14ac:dyDescent="0.25">
      <c r="A115" s="4">
        <v>17</v>
      </c>
      <c r="B115" s="47" t="s">
        <v>721</v>
      </c>
      <c r="C115" s="60" t="s">
        <v>798</v>
      </c>
      <c r="D115" s="61" t="s">
        <v>9</v>
      </c>
      <c r="E115" s="62" t="s">
        <v>799</v>
      </c>
      <c r="F115" s="62" t="s">
        <v>800</v>
      </c>
    </row>
    <row r="116" spans="1:6" ht="30" x14ac:dyDescent="0.25">
      <c r="B116" s="91"/>
      <c r="C116" s="20" t="s">
        <v>1374</v>
      </c>
      <c r="D116" s="10" t="s">
        <v>452</v>
      </c>
      <c r="E116" s="2">
        <v>0</v>
      </c>
      <c r="F116" s="2">
        <v>0</v>
      </c>
    </row>
    <row r="117" spans="1:6" ht="27.75" customHeight="1" x14ac:dyDescent="0.25">
      <c r="B117" s="94"/>
      <c r="C117" s="94"/>
      <c r="D117" s="94"/>
      <c r="E117" s="94"/>
      <c r="F117" s="94"/>
    </row>
    <row r="118" spans="1:6" ht="45" x14ac:dyDescent="0.25">
      <c r="A118" s="4">
        <v>18</v>
      </c>
      <c r="B118" s="47" t="s">
        <v>721</v>
      </c>
      <c r="C118" s="60" t="s">
        <v>798</v>
      </c>
      <c r="D118" s="61" t="s">
        <v>9</v>
      </c>
      <c r="E118" s="62" t="s">
        <v>799</v>
      </c>
      <c r="F118" s="62" t="s">
        <v>800</v>
      </c>
    </row>
    <row r="119" spans="1:6" ht="45" x14ac:dyDescent="0.25">
      <c r="B119" s="6">
        <v>1</v>
      </c>
      <c r="C119" s="6" t="s">
        <v>455</v>
      </c>
      <c r="D119" s="6" t="s">
        <v>464</v>
      </c>
      <c r="E119" s="47">
        <v>100</v>
      </c>
      <c r="F119" s="47">
        <v>100</v>
      </c>
    </row>
    <row r="120" spans="1:6" ht="45" x14ac:dyDescent="0.25">
      <c r="B120" s="6">
        <f>B119+1</f>
        <v>2</v>
      </c>
      <c r="C120" s="6" t="s">
        <v>462</v>
      </c>
      <c r="D120" s="6" t="s">
        <v>465</v>
      </c>
      <c r="E120" s="47">
        <v>100</v>
      </c>
      <c r="F120" s="47">
        <v>100</v>
      </c>
    </row>
    <row r="121" spans="1:6" ht="75" x14ac:dyDescent="0.25">
      <c r="B121" s="6">
        <f t="shared" ref="B121:B132" si="3">B120+1</f>
        <v>3</v>
      </c>
      <c r="C121" s="6" t="s">
        <v>520</v>
      </c>
      <c r="D121" s="6" t="s">
        <v>518</v>
      </c>
      <c r="E121" s="47">
        <v>100</v>
      </c>
      <c r="F121" s="47">
        <v>100</v>
      </c>
    </row>
    <row r="122" spans="1:6" ht="45" x14ac:dyDescent="0.25">
      <c r="B122" s="6">
        <f t="shared" si="3"/>
        <v>4</v>
      </c>
      <c r="C122" s="6" t="s">
        <v>468</v>
      </c>
      <c r="D122" s="6" t="s">
        <v>499</v>
      </c>
      <c r="E122" s="47">
        <v>100</v>
      </c>
      <c r="F122" s="47">
        <v>100</v>
      </c>
    </row>
    <row r="123" spans="1:6" ht="75" x14ac:dyDescent="0.25">
      <c r="B123" s="6">
        <f t="shared" si="3"/>
        <v>5</v>
      </c>
      <c r="C123" s="6" t="s">
        <v>525</v>
      </c>
      <c r="D123" s="6" t="s">
        <v>522</v>
      </c>
      <c r="E123" s="47">
        <v>100</v>
      </c>
      <c r="F123" s="47">
        <v>100</v>
      </c>
    </row>
    <row r="124" spans="1:6" ht="90" x14ac:dyDescent="0.25">
      <c r="B124" s="6">
        <f t="shared" si="3"/>
        <v>6</v>
      </c>
      <c r="C124" s="6" t="s">
        <v>526</v>
      </c>
      <c r="D124" s="6" t="s">
        <v>528</v>
      </c>
      <c r="E124" s="47">
        <v>100</v>
      </c>
      <c r="F124" s="47">
        <v>100</v>
      </c>
    </row>
    <row r="125" spans="1:6" ht="90" x14ac:dyDescent="0.25">
      <c r="B125" s="6">
        <f t="shared" si="3"/>
        <v>7</v>
      </c>
      <c r="C125" s="6" t="s">
        <v>668</v>
      </c>
      <c r="D125" s="6" t="s">
        <v>533</v>
      </c>
      <c r="E125" s="47">
        <v>100</v>
      </c>
      <c r="F125" s="47">
        <v>100</v>
      </c>
    </row>
    <row r="126" spans="1:6" ht="75" x14ac:dyDescent="0.25">
      <c r="B126" s="6">
        <f t="shared" si="3"/>
        <v>8</v>
      </c>
      <c r="C126" s="6" t="s">
        <v>537</v>
      </c>
      <c r="D126" s="6" t="s">
        <v>539</v>
      </c>
      <c r="E126" s="47">
        <v>100</v>
      </c>
      <c r="F126" s="47">
        <v>100</v>
      </c>
    </row>
    <row r="127" spans="1:6" ht="120" x14ac:dyDescent="0.25">
      <c r="B127" s="6">
        <f t="shared" si="3"/>
        <v>9</v>
      </c>
      <c r="C127" s="6" t="s">
        <v>569</v>
      </c>
      <c r="D127" s="6" t="s">
        <v>570</v>
      </c>
      <c r="E127" s="47">
        <v>100</v>
      </c>
      <c r="F127" s="47">
        <v>100</v>
      </c>
    </row>
    <row r="128" spans="1:6" ht="150" x14ac:dyDescent="0.25">
      <c r="B128" s="6">
        <f t="shared" si="3"/>
        <v>10</v>
      </c>
      <c r="C128" s="6" t="s">
        <v>576</v>
      </c>
      <c r="D128" s="6" t="s">
        <v>577</v>
      </c>
      <c r="E128" s="47">
        <v>100</v>
      </c>
      <c r="F128" s="47">
        <v>100</v>
      </c>
    </row>
    <row r="129" spans="1:6" ht="90" x14ac:dyDescent="0.25">
      <c r="B129" s="6">
        <f t="shared" si="3"/>
        <v>11</v>
      </c>
      <c r="C129" s="6" t="s">
        <v>580</v>
      </c>
      <c r="D129" s="6" t="s">
        <v>581</v>
      </c>
      <c r="E129" s="47">
        <v>100</v>
      </c>
      <c r="F129" s="47">
        <v>100</v>
      </c>
    </row>
    <row r="130" spans="1:6" ht="105" x14ac:dyDescent="0.25">
      <c r="B130" s="6">
        <f t="shared" si="3"/>
        <v>12</v>
      </c>
      <c r="C130" s="6" t="s">
        <v>619</v>
      </c>
      <c r="D130" s="6" t="s">
        <v>621</v>
      </c>
      <c r="E130" s="47">
        <v>100</v>
      </c>
      <c r="F130" s="47">
        <v>100</v>
      </c>
    </row>
    <row r="131" spans="1:6" ht="60" x14ac:dyDescent="0.25">
      <c r="B131" s="6">
        <v>13</v>
      </c>
      <c r="C131" s="6" t="s">
        <v>628</v>
      </c>
      <c r="D131" s="6" t="s">
        <v>630</v>
      </c>
      <c r="E131" s="47">
        <v>100</v>
      </c>
      <c r="F131" s="47">
        <v>100</v>
      </c>
    </row>
    <row r="132" spans="1:6" ht="75" x14ac:dyDescent="0.25">
      <c r="B132" s="6">
        <f t="shared" si="3"/>
        <v>14</v>
      </c>
      <c r="C132" s="6" t="s">
        <v>791</v>
      </c>
      <c r="D132" s="6" t="s">
        <v>539</v>
      </c>
      <c r="E132" s="47">
        <v>100</v>
      </c>
      <c r="F132" s="47">
        <v>100</v>
      </c>
    </row>
    <row r="133" spans="1:6" x14ac:dyDescent="0.25">
      <c r="B133" s="95"/>
      <c r="C133" s="95"/>
      <c r="D133" s="62" t="s">
        <v>801</v>
      </c>
      <c r="E133" s="58">
        <f>SUM(E119:E132)/14</f>
        <v>100</v>
      </c>
      <c r="F133" s="58">
        <f>SUM(F119:F132)/14</f>
        <v>100</v>
      </c>
    </row>
    <row r="136" spans="1:6" ht="45" x14ac:dyDescent="0.25">
      <c r="A136" s="4">
        <v>19</v>
      </c>
      <c r="B136" s="47" t="s">
        <v>721</v>
      </c>
      <c r="C136" s="60" t="s">
        <v>798</v>
      </c>
      <c r="D136" s="61" t="s">
        <v>9</v>
      </c>
      <c r="E136" s="62" t="s">
        <v>799</v>
      </c>
      <c r="F136" s="62" t="s">
        <v>800</v>
      </c>
    </row>
    <row r="137" spans="1:6" ht="90" x14ac:dyDescent="0.25">
      <c r="B137" s="6">
        <v>1</v>
      </c>
      <c r="C137" s="6" t="s">
        <v>472</v>
      </c>
      <c r="D137" s="6" t="s">
        <v>508</v>
      </c>
      <c r="E137" s="47">
        <v>100</v>
      </c>
      <c r="F137" s="47">
        <v>100</v>
      </c>
    </row>
    <row r="138" spans="1:6" ht="83.25" customHeight="1" x14ac:dyDescent="0.25">
      <c r="B138" s="6">
        <f>B137+1</f>
        <v>2</v>
      </c>
      <c r="C138" s="6" t="s">
        <v>488</v>
      </c>
      <c r="D138" s="6" t="s">
        <v>490</v>
      </c>
      <c r="E138" s="47">
        <v>100</v>
      </c>
      <c r="F138" s="47">
        <v>100</v>
      </c>
    </row>
    <row r="139" spans="1:6" ht="75" x14ac:dyDescent="0.25">
      <c r="B139" s="6">
        <f t="shared" ref="B139:B151" si="4">B138+1</f>
        <v>3</v>
      </c>
      <c r="C139" s="6" t="s">
        <v>494</v>
      </c>
      <c r="D139" s="6" t="s">
        <v>496</v>
      </c>
      <c r="E139" s="47">
        <v>100</v>
      </c>
      <c r="F139" s="47">
        <v>100</v>
      </c>
    </row>
    <row r="140" spans="1:6" ht="75" x14ac:dyDescent="0.25">
      <c r="B140" s="6">
        <f t="shared" si="4"/>
        <v>4</v>
      </c>
      <c r="C140" s="6" t="s">
        <v>500</v>
      </c>
      <c r="D140" s="6" t="s">
        <v>496</v>
      </c>
      <c r="E140" s="47">
        <v>100</v>
      </c>
      <c r="F140" s="47">
        <v>100</v>
      </c>
    </row>
    <row r="141" spans="1:6" ht="90" x14ac:dyDescent="0.25">
      <c r="B141" s="6">
        <f t="shared" si="4"/>
        <v>5</v>
      </c>
      <c r="C141" s="6" t="s">
        <v>506</v>
      </c>
      <c r="D141" s="6" t="s">
        <v>507</v>
      </c>
      <c r="E141" s="47">
        <v>100</v>
      </c>
      <c r="F141" s="47">
        <v>100</v>
      </c>
    </row>
    <row r="142" spans="1:6" ht="45" x14ac:dyDescent="0.25">
      <c r="B142" s="6">
        <f t="shared" si="4"/>
        <v>6</v>
      </c>
      <c r="C142" s="6" t="s">
        <v>519</v>
      </c>
      <c r="D142" s="6" t="s">
        <v>511</v>
      </c>
      <c r="E142" s="47">
        <v>100</v>
      </c>
      <c r="F142" s="47">
        <v>100</v>
      </c>
    </row>
    <row r="143" spans="1:6" ht="120" x14ac:dyDescent="0.25">
      <c r="B143" s="6">
        <f t="shared" si="4"/>
        <v>7</v>
      </c>
      <c r="C143" s="6" t="s">
        <v>618</v>
      </c>
      <c r="D143" s="6" t="s">
        <v>544</v>
      </c>
      <c r="E143" s="47">
        <v>100</v>
      </c>
      <c r="F143" s="47">
        <v>100</v>
      </c>
    </row>
    <row r="144" spans="1:6" ht="75" x14ac:dyDescent="0.25">
      <c r="B144" s="6">
        <f t="shared" si="4"/>
        <v>8</v>
      </c>
      <c r="C144" s="6" t="s">
        <v>550</v>
      </c>
      <c r="D144" s="6" t="s">
        <v>557</v>
      </c>
      <c r="E144" s="47">
        <v>100</v>
      </c>
      <c r="F144" s="47">
        <v>100</v>
      </c>
    </row>
    <row r="145" spans="1:6" ht="45" x14ac:dyDescent="0.25">
      <c r="B145" s="6">
        <f t="shared" si="4"/>
        <v>9</v>
      </c>
      <c r="C145" s="6" t="s">
        <v>555</v>
      </c>
      <c r="D145" s="6" t="s">
        <v>556</v>
      </c>
      <c r="E145" s="47">
        <v>100</v>
      </c>
      <c r="F145" s="47">
        <v>100</v>
      </c>
    </row>
    <row r="146" spans="1:6" ht="45" x14ac:dyDescent="0.25">
      <c r="B146" s="6">
        <f t="shared" si="4"/>
        <v>10</v>
      </c>
      <c r="C146" s="6" t="s">
        <v>563</v>
      </c>
      <c r="D146" s="6" t="s">
        <v>565</v>
      </c>
      <c r="E146" s="47">
        <v>100</v>
      </c>
      <c r="F146" s="47">
        <v>100</v>
      </c>
    </row>
    <row r="147" spans="1:6" ht="45" x14ac:dyDescent="0.25">
      <c r="B147" s="6">
        <f t="shared" si="4"/>
        <v>11</v>
      </c>
      <c r="C147" s="6" t="s">
        <v>593</v>
      </c>
      <c r="D147" s="6" t="s">
        <v>595</v>
      </c>
      <c r="E147" s="47">
        <v>100</v>
      </c>
      <c r="F147" s="47">
        <v>100</v>
      </c>
    </row>
    <row r="148" spans="1:6" ht="45" x14ac:dyDescent="0.25">
      <c r="B148" s="6">
        <f t="shared" si="4"/>
        <v>12</v>
      </c>
      <c r="C148" s="6" t="s">
        <v>601</v>
      </c>
      <c r="D148" s="6" t="s">
        <v>565</v>
      </c>
      <c r="E148" s="47">
        <v>100</v>
      </c>
      <c r="F148" s="47">
        <v>100</v>
      </c>
    </row>
    <row r="149" spans="1:6" ht="75" x14ac:dyDescent="0.25">
      <c r="B149" s="6">
        <f t="shared" si="4"/>
        <v>13</v>
      </c>
      <c r="C149" s="6" t="s">
        <v>604</v>
      </c>
      <c r="D149" s="6" t="s">
        <v>606</v>
      </c>
      <c r="E149" s="47">
        <v>100</v>
      </c>
      <c r="F149" s="47">
        <v>100</v>
      </c>
    </row>
    <row r="150" spans="1:6" ht="75" x14ac:dyDescent="0.25">
      <c r="B150" s="6">
        <f t="shared" si="4"/>
        <v>14</v>
      </c>
      <c r="C150" s="6" t="s">
        <v>611</v>
      </c>
      <c r="D150" s="6" t="s">
        <v>606</v>
      </c>
      <c r="E150" s="47">
        <v>100</v>
      </c>
      <c r="F150" s="47">
        <v>100</v>
      </c>
    </row>
    <row r="151" spans="1:6" ht="45" x14ac:dyDescent="0.25">
      <c r="B151" s="6">
        <f t="shared" si="4"/>
        <v>15</v>
      </c>
      <c r="C151" s="6" t="s">
        <v>614</v>
      </c>
      <c r="D151" s="6" t="s">
        <v>595</v>
      </c>
      <c r="E151" s="47">
        <v>100</v>
      </c>
      <c r="F151" s="47">
        <v>100</v>
      </c>
    </row>
    <row r="152" spans="1:6" x14ac:dyDescent="0.25">
      <c r="B152" s="6"/>
      <c r="C152" s="6"/>
      <c r="D152" s="62" t="s">
        <v>801</v>
      </c>
      <c r="E152" s="58">
        <v>100</v>
      </c>
      <c r="F152" s="58">
        <v>100</v>
      </c>
    </row>
    <row r="153" spans="1:6" x14ac:dyDescent="0.25">
      <c r="B153" s="96"/>
      <c r="C153" s="96"/>
      <c r="D153" s="96"/>
      <c r="E153" s="96"/>
      <c r="F153" s="96"/>
    </row>
    <row r="154" spans="1:6" x14ac:dyDescent="0.25">
      <c r="B154" s="96"/>
      <c r="C154" s="96"/>
      <c r="D154" s="96"/>
      <c r="E154" s="96"/>
      <c r="F154" s="96"/>
    </row>
    <row r="155" spans="1:6" ht="45" x14ac:dyDescent="0.25">
      <c r="A155" s="4">
        <v>20</v>
      </c>
      <c r="B155" s="47" t="s">
        <v>721</v>
      </c>
      <c r="C155" s="60" t="s">
        <v>798</v>
      </c>
      <c r="D155" s="61" t="s">
        <v>9</v>
      </c>
      <c r="E155" s="62" t="s">
        <v>799</v>
      </c>
      <c r="F155" s="62" t="s">
        <v>800</v>
      </c>
    </row>
    <row r="156" spans="1:6" ht="30" x14ac:dyDescent="0.25">
      <c r="B156" s="47"/>
      <c r="C156" s="47"/>
      <c r="D156" s="6" t="s">
        <v>475</v>
      </c>
      <c r="E156" s="47">
        <v>100</v>
      </c>
      <c r="F156" s="47">
        <v>100</v>
      </c>
    </row>
    <row r="157" spans="1:6" x14ac:dyDescent="0.25">
      <c r="B157" s="65"/>
      <c r="C157" s="65"/>
      <c r="D157" s="65"/>
      <c r="E157" s="65"/>
      <c r="F157" s="65"/>
    </row>
    <row r="158" spans="1:6" x14ac:dyDescent="0.25">
      <c r="B158" s="65"/>
      <c r="C158" s="65"/>
      <c r="D158" s="65"/>
      <c r="E158" s="65"/>
      <c r="F158" s="65"/>
    </row>
    <row r="159" spans="1:6" ht="45" x14ac:dyDescent="0.25">
      <c r="A159" s="4">
        <v>21</v>
      </c>
      <c r="B159" s="47" t="s">
        <v>721</v>
      </c>
      <c r="C159" s="60" t="s">
        <v>798</v>
      </c>
      <c r="D159" s="61" t="s">
        <v>9</v>
      </c>
      <c r="E159" s="62" t="s">
        <v>799</v>
      </c>
      <c r="F159" s="62" t="s">
        <v>800</v>
      </c>
    </row>
    <row r="160" spans="1:6" ht="75" x14ac:dyDescent="0.25">
      <c r="B160" s="47"/>
      <c r="C160" s="6" t="s">
        <v>585</v>
      </c>
      <c r="D160" s="6" t="s">
        <v>587</v>
      </c>
      <c r="E160" s="47">
        <v>100</v>
      </c>
      <c r="F160" s="47">
        <v>100</v>
      </c>
    </row>
    <row r="161" spans="1:6" x14ac:dyDescent="0.25">
      <c r="B161" s="97"/>
      <c r="C161" s="97"/>
      <c r="D161" s="97"/>
      <c r="E161" s="97"/>
      <c r="F161" s="97"/>
    </row>
    <row r="162" spans="1:6" x14ac:dyDescent="0.25">
      <c r="B162" s="97"/>
      <c r="C162" s="97"/>
      <c r="D162" s="97"/>
      <c r="E162" s="97"/>
      <c r="F162" s="97"/>
    </row>
    <row r="163" spans="1:6" ht="45" x14ac:dyDescent="0.25">
      <c r="A163" s="4">
        <v>22</v>
      </c>
      <c r="B163" s="47" t="s">
        <v>721</v>
      </c>
      <c r="C163" s="60" t="s">
        <v>798</v>
      </c>
      <c r="D163" s="61" t="s">
        <v>9</v>
      </c>
      <c r="E163" s="62" t="s">
        <v>799</v>
      </c>
      <c r="F163" s="62" t="s">
        <v>800</v>
      </c>
    </row>
    <row r="164" spans="1:6" ht="60" x14ac:dyDescent="0.25">
      <c r="B164" s="47"/>
      <c r="C164" s="98" t="s">
        <v>705</v>
      </c>
      <c r="D164" s="98" t="s">
        <v>707</v>
      </c>
      <c r="E164" s="47">
        <v>100</v>
      </c>
      <c r="F164" s="47">
        <v>50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E119"/>
  <sheetViews>
    <sheetView topLeftCell="B54" zoomScaleNormal="100" zoomScaleSheetLayoutView="100" workbookViewId="0">
      <selection activeCell="H3" activeCellId="1" sqref="E3:F61 H3:H61"/>
    </sheetView>
  </sheetViews>
  <sheetFormatPr baseColWidth="10" defaultRowHeight="15" x14ac:dyDescent="0.25"/>
  <cols>
    <col min="3" max="3" width="17.7109375" customWidth="1"/>
    <col min="4" max="4" width="60" customWidth="1"/>
    <col min="5" max="5" width="21.85546875" customWidth="1"/>
    <col min="6" max="6" width="27.7109375" customWidth="1"/>
    <col min="7" max="7" width="24.7109375" customWidth="1"/>
    <col min="8" max="8" width="22.42578125" customWidth="1"/>
    <col min="9" max="9" width="17.85546875" customWidth="1"/>
    <col min="10" max="10" width="14.28515625" customWidth="1"/>
    <col min="11" max="11" width="11.140625" customWidth="1"/>
    <col min="12" max="13" width="10.42578125" customWidth="1"/>
    <col min="14" max="14" width="14.7109375" customWidth="1"/>
    <col min="15" max="15" width="28.28515625" customWidth="1"/>
    <col min="16" max="16" width="18.42578125" customWidth="1"/>
    <col min="17" max="19" width="17.7109375" customWidth="1"/>
    <col min="20" max="22" width="19.5703125" customWidth="1"/>
    <col min="31" max="31" width="59.42578125" customWidth="1"/>
  </cols>
  <sheetData>
    <row r="1" spans="1:31" x14ac:dyDescent="0.25">
      <c r="AC1" s="494">
        <v>1</v>
      </c>
      <c r="AD1" s="91"/>
      <c r="AE1" s="91" t="s">
        <v>1745</v>
      </c>
    </row>
    <row r="2" spans="1:31" x14ac:dyDescent="0.25">
      <c r="A2" t="s">
        <v>1671</v>
      </c>
      <c r="I2" s="1321" t="s">
        <v>1687</v>
      </c>
      <c r="J2" s="1321"/>
      <c r="K2" s="1321" t="s">
        <v>1688</v>
      </c>
      <c r="L2" s="1321"/>
      <c r="M2" s="475"/>
      <c r="N2" s="475"/>
      <c r="O2" s="475"/>
      <c r="P2" s="475"/>
      <c r="W2" s="1321" t="s">
        <v>1677</v>
      </c>
      <c r="X2" s="1321"/>
      <c r="Y2" s="1321" t="s">
        <v>1678</v>
      </c>
      <c r="Z2" s="1321"/>
      <c r="AC2" s="494">
        <v>2</v>
      </c>
      <c r="AD2" s="91"/>
      <c r="AE2" s="490" t="s">
        <v>1746</v>
      </c>
    </row>
    <row r="3" spans="1:31" x14ac:dyDescent="0.25">
      <c r="A3" s="91" t="s">
        <v>721</v>
      </c>
      <c r="B3" s="91" t="s">
        <v>1672</v>
      </c>
      <c r="C3" s="91" t="s">
        <v>1867</v>
      </c>
      <c r="D3" s="537" t="s">
        <v>1882</v>
      </c>
      <c r="E3" s="537" t="s">
        <v>1857</v>
      </c>
      <c r="F3" s="91" t="s">
        <v>1858</v>
      </c>
      <c r="G3" s="322" t="s">
        <v>1883</v>
      </c>
      <c r="H3" s="539" t="s">
        <v>1859</v>
      </c>
      <c r="I3" s="392" t="s">
        <v>1675</v>
      </c>
      <c r="J3" s="392" t="s">
        <v>1676</v>
      </c>
      <c r="K3" s="393" t="s">
        <v>1675</v>
      </c>
      <c r="L3" s="393" t="s">
        <v>1676</v>
      </c>
      <c r="M3" s="476"/>
      <c r="N3" s="91" t="s">
        <v>1857</v>
      </c>
      <c r="O3" s="91" t="s">
        <v>1858</v>
      </c>
      <c r="P3" s="322" t="s">
        <v>1859</v>
      </c>
      <c r="R3" s="91">
        <v>2014</v>
      </c>
      <c r="S3" s="91">
        <v>2015</v>
      </c>
      <c r="T3" s="50" t="s">
        <v>1692</v>
      </c>
      <c r="U3" s="52"/>
      <c r="W3" s="91" t="s">
        <v>1675</v>
      </c>
      <c r="X3" s="91" t="s">
        <v>1676</v>
      </c>
      <c r="Y3" s="91"/>
      <c r="Z3" s="91"/>
      <c r="AC3" s="494">
        <v>3</v>
      </c>
      <c r="AD3" s="91"/>
      <c r="AE3" s="491" t="s">
        <v>1747</v>
      </c>
    </row>
    <row r="4" spans="1:31" ht="42" hidden="1" customHeight="1" x14ac:dyDescent="0.25">
      <c r="A4" s="2">
        <f>A63+1</f>
        <v>54</v>
      </c>
      <c r="B4" s="20">
        <v>2013</v>
      </c>
      <c r="C4" s="20" t="s">
        <v>1880</v>
      </c>
      <c r="D4" s="6" t="s">
        <v>636</v>
      </c>
      <c r="E4" s="313">
        <v>937479000</v>
      </c>
      <c r="F4" s="313">
        <v>937479000</v>
      </c>
      <c r="G4" s="313">
        <v>585645825</v>
      </c>
      <c r="H4" s="313">
        <v>585645825</v>
      </c>
      <c r="I4" s="315">
        <v>100</v>
      </c>
      <c r="J4" s="457">
        <f>(H4*100)/G4</f>
        <v>100</v>
      </c>
      <c r="K4" s="407">
        <v>62</v>
      </c>
      <c r="L4" s="128">
        <f>(H4*100)/F4</f>
        <v>62.470287334436293</v>
      </c>
      <c r="M4" s="128">
        <f>(G4*100)/F4</f>
        <v>62.470287334436293</v>
      </c>
      <c r="N4" s="322"/>
      <c r="O4" s="322"/>
      <c r="P4" s="322"/>
      <c r="R4" s="91"/>
      <c r="S4" s="91"/>
      <c r="T4" s="50"/>
      <c r="U4" s="52"/>
      <c r="W4" s="91"/>
      <c r="X4" s="91"/>
      <c r="Y4" s="91"/>
      <c r="Z4" s="91"/>
      <c r="AC4" s="494"/>
      <c r="AD4" s="91"/>
      <c r="AE4" s="491"/>
    </row>
    <row r="5" spans="1:31" ht="42" hidden="1" customHeight="1" x14ac:dyDescent="0.25">
      <c r="A5" s="2">
        <f>A7+1</f>
        <v>60</v>
      </c>
      <c r="B5" s="20">
        <v>2013</v>
      </c>
      <c r="C5" s="20" t="s">
        <v>1880</v>
      </c>
      <c r="D5" s="98" t="s">
        <v>1701</v>
      </c>
      <c r="E5" s="551">
        <v>901824000</v>
      </c>
      <c r="F5" s="313">
        <v>877180000</v>
      </c>
      <c r="G5" s="313">
        <f>510000000+253882000</f>
        <v>763882000</v>
      </c>
      <c r="H5" s="313">
        <f>510000000+253882000</f>
        <v>763882000</v>
      </c>
      <c r="I5" s="407">
        <v>100</v>
      </c>
      <c r="J5" s="457">
        <f>(H5*100)/G5</f>
        <v>100</v>
      </c>
      <c r="K5" s="407">
        <v>100</v>
      </c>
      <c r="L5" s="128">
        <f>(H5*100)/F5</f>
        <v>87.083836840785239</v>
      </c>
      <c r="M5" s="128">
        <f>(G5*100)/F5</f>
        <v>87.083836840785239</v>
      </c>
      <c r="N5" s="322"/>
      <c r="O5" s="322"/>
      <c r="P5" s="322"/>
      <c r="R5" s="91"/>
      <c r="S5" s="91"/>
      <c r="T5" s="50"/>
      <c r="U5" s="52"/>
      <c r="W5" s="91"/>
      <c r="X5" s="91"/>
      <c r="Y5" s="91"/>
      <c r="Z5" s="91"/>
      <c r="AC5" s="494"/>
      <c r="AD5" s="91"/>
      <c r="AE5" s="491"/>
    </row>
    <row r="6" spans="1:31" ht="42" hidden="1" customHeight="1" x14ac:dyDescent="0.25">
      <c r="A6" s="2">
        <f>A57+1</f>
        <v>51</v>
      </c>
      <c r="B6" s="400">
        <v>2014</v>
      </c>
      <c r="C6" s="400" t="s">
        <v>1880</v>
      </c>
      <c r="D6" s="400" t="s">
        <v>276</v>
      </c>
      <c r="E6" s="428">
        <v>784963000</v>
      </c>
      <c r="F6" s="428">
        <v>784963000</v>
      </c>
      <c r="G6" s="428" t="s">
        <v>1693</v>
      </c>
      <c r="H6" s="428">
        <v>0</v>
      </c>
      <c r="I6" s="456">
        <v>0</v>
      </c>
      <c r="J6" s="456">
        <v>0</v>
      </c>
      <c r="K6" s="456">
        <v>0</v>
      </c>
      <c r="L6" s="456">
        <v>0</v>
      </c>
      <c r="M6" s="128">
        <v>0</v>
      </c>
      <c r="N6" s="128"/>
      <c r="O6" s="128"/>
      <c r="P6" s="128"/>
      <c r="Q6" s="428"/>
      <c r="R6" s="428">
        <v>784963000</v>
      </c>
      <c r="S6" s="428"/>
      <c r="T6" s="343">
        <f>R6</f>
        <v>784963000</v>
      </c>
      <c r="U6" s="52"/>
      <c r="W6" s="91"/>
      <c r="X6" s="91"/>
      <c r="Y6" s="91"/>
      <c r="Z6" s="91"/>
      <c r="AC6" s="494"/>
      <c r="AD6" s="91"/>
      <c r="AE6" s="491"/>
    </row>
    <row r="7" spans="1:31" ht="42" hidden="1" customHeight="1" x14ac:dyDescent="0.25">
      <c r="A7" s="2">
        <f>A9+1</f>
        <v>59</v>
      </c>
      <c r="B7" s="242" t="s">
        <v>1673</v>
      </c>
      <c r="C7" s="242" t="s">
        <v>1880</v>
      </c>
      <c r="D7" s="462" t="s">
        <v>1700</v>
      </c>
      <c r="E7" s="550">
        <v>650700000</v>
      </c>
      <c r="F7" s="519">
        <v>150300000</v>
      </c>
      <c r="G7" s="519">
        <v>23710000</v>
      </c>
      <c r="H7" s="519">
        <v>23710000</v>
      </c>
      <c r="I7" s="463">
        <v>100</v>
      </c>
      <c r="J7" s="457">
        <f>(H7*100)/G7</f>
        <v>100</v>
      </c>
      <c r="K7" s="463">
        <v>16</v>
      </c>
      <c r="L7" s="128">
        <f>(H7*100)/F7</f>
        <v>15.775116433799068</v>
      </c>
      <c r="M7" s="128">
        <f t="shared" ref="M7:M12" si="0">(G7*100)/F7</f>
        <v>15.775116433799068</v>
      </c>
      <c r="N7" s="128"/>
      <c r="O7" s="128"/>
      <c r="P7" s="128"/>
      <c r="Q7" s="413">
        <v>150300000</v>
      </c>
      <c r="R7" s="413">
        <v>380700000</v>
      </c>
      <c r="S7" s="413">
        <v>119700000</v>
      </c>
      <c r="T7" s="413">
        <f>Q7+R7+S7</f>
        <v>650700000</v>
      </c>
      <c r="U7" s="525"/>
      <c r="W7" s="91"/>
      <c r="X7" s="91"/>
      <c r="Y7" s="91"/>
      <c r="Z7" s="91"/>
      <c r="AC7" s="494"/>
      <c r="AD7" s="91"/>
      <c r="AE7" s="491"/>
    </row>
    <row r="8" spans="1:31" ht="42" hidden="1" customHeight="1" x14ac:dyDescent="0.25">
      <c r="A8" s="2">
        <f>A6+1</f>
        <v>52</v>
      </c>
      <c r="B8" s="20">
        <v>2013</v>
      </c>
      <c r="C8" s="20" t="s">
        <v>1880</v>
      </c>
      <c r="D8" s="20" t="s">
        <v>381</v>
      </c>
      <c r="E8" s="313">
        <v>621000000</v>
      </c>
      <c r="F8" s="313">
        <v>621000000</v>
      </c>
      <c r="G8" s="313">
        <v>512569440</v>
      </c>
      <c r="H8" s="313">
        <v>491459846</v>
      </c>
      <c r="I8" s="407">
        <v>96.34</v>
      </c>
      <c r="J8" s="406">
        <f>(H8*100)/G8</f>
        <v>95.881612840593846</v>
      </c>
      <c r="K8" s="407">
        <v>79.540000000000006</v>
      </c>
      <c r="L8" s="128">
        <f>(H8*100)/F8</f>
        <v>79.140071819645726</v>
      </c>
      <c r="M8" s="128">
        <f t="shared" si="0"/>
        <v>82.539362318840574</v>
      </c>
      <c r="N8" s="128"/>
      <c r="O8" s="128"/>
      <c r="P8" s="128"/>
      <c r="Q8" s="313"/>
      <c r="R8" s="313"/>
      <c r="S8" s="313"/>
      <c r="T8" s="313"/>
      <c r="U8" s="52"/>
      <c r="W8" s="91"/>
      <c r="X8" s="91"/>
      <c r="Y8" s="91"/>
      <c r="Z8" s="91"/>
      <c r="AC8" s="494"/>
      <c r="AD8" s="91"/>
      <c r="AE8" s="491"/>
    </row>
    <row r="9" spans="1:31" ht="42" hidden="1" customHeight="1" x14ac:dyDescent="0.25">
      <c r="A9" s="2">
        <f>A38+1</f>
        <v>58</v>
      </c>
      <c r="B9" s="242" t="s">
        <v>1673</v>
      </c>
      <c r="C9" s="242" t="s">
        <v>1880</v>
      </c>
      <c r="D9" s="462" t="s">
        <v>1699</v>
      </c>
      <c r="E9" s="550">
        <v>494440000</v>
      </c>
      <c r="F9" s="519">
        <v>49725000</v>
      </c>
      <c r="G9" s="519">
        <v>16500000</v>
      </c>
      <c r="H9" s="519">
        <v>16500000</v>
      </c>
      <c r="I9" s="463">
        <v>100</v>
      </c>
      <c r="J9" s="457">
        <f>(H9*100)/G9</f>
        <v>100</v>
      </c>
      <c r="K9" s="463">
        <v>33</v>
      </c>
      <c r="L9" s="128">
        <f>(H9*100)/F9</f>
        <v>33.182503770739068</v>
      </c>
      <c r="M9" s="128">
        <f t="shared" si="0"/>
        <v>33.182503770739068</v>
      </c>
      <c r="N9" s="128"/>
      <c r="O9" s="128"/>
      <c r="P9" s="128"/>
      <c r="Q9" s="413">
        <v>49725000</v>
      </c>
      <c r="R9" s="413">
        <v>267915000</v>
      </c>
      <c r="S9" s="413">
        <v>176800000</v>
      </c>
      <c r="T9" s="413">
        <f>Q9+R9+S9</f>
        <v>494440000</v>
      </c>
      <c r="U9" s="525"/>
      <c r="W9" s="91"/>
      <c r="X9" s="91"/>
      <c r="Y9" s="91"/>
      <c r="Z9" s="91"/>
      <c r="AC9" s="494"/>
      <c r="AD9" s="91"/>
      <c r="AE9" s="491"/>
    </row>
    <row r="10" spans="1:31" ht="42" hidden="1" customHeight="1" x14ac:dyDescent="0.25">
      <c r="A10" s="2">
        <f>A4+1</f>
        <v>55</v>
      </c>
      <c r="B10" s="20">
        <v>2013</v>
      </c>
      <c r="C10" s="20" t="s">
        <v>1880</v>
      </c>
      <c r="D10" s="424" t="s">
        <v>542</v>
      </c>
      <c r="E10" s="313">
        <v>470000000</v>
      </c>
      <c r="F10" s="313">
        <v>470000000</v>
      </c>
      <c r="G10" s="313">
        <v>242616666</v>
      </c>
      <c r="H10" s="313">
        <v>242616666</v>
      </c>
      <c r="I10" s="315">
        <v>100</v>
      </c>
      <c r="J10" s="457">
        <f>(H10*100)/G10</f>
        <v>100</v>
      </c>
      <c r="K10" s="407">
        <v>52</v>
      </c>
      <c r="L10" s="128">
        <f>(H10*100)/F10</f>
        <v>51.620567234042554</v>
      </c>
      <c r="M10" s="128">
        <f t="shared" si="0"/>
        <v>51.620567234042554</v>
      </c>
      <c r="N10" s="561"/>
      <c r="O10" s="561"/>
      <c r="P10" s="561"/>
      <c r="Q10" s="413"/>
      <c r="R10" s="413"/>
      <c r="S10" s="413"/>
      <c r="T10" s="413"/>
      <c r="U10" s="525"/>
      <c r="W10" s="91"/>
      <c r="X10" s="91"/>
      <c r="Y10" s="91"/>
      <c r="Z10" s="91"/>
      <c r="AC10" s="494"/>
      <c r="AD10" s="91"/>
      <c r="AE10" s="491"/>
    </row>
    <row r="11" spans="1:31" ht="42" hidden="1" customHeight="1" x14ac:dyDescent="0.25">
      <c r="A11" s="2">
        <f>A47+1</f>
        <v>40</v>
      </c>
      <c r="B11" s="6">
        <v>2013</v>
      </c>
      <c r="C11" s="6" t="s">
        <v>1880</v>
      </c>
      <c r="D11" s="129" t="s">
        <v>1691</v>
      </c>
      <c r="E11" s="313">
        <v>284121000</v>
      </c>
      <c r="F11" s="313">
        <v>284121000</v>
      </c>
      <c r="G11" s="313">
        <v>52800000</v>
      </c>
      <c r="H11" s="313">
        <v>52800000</v>
      </c>
      <c r="I11" s="455">
        <v>100</v>
      </c>
      <c r="J11" s="455">
        <f>(H11*100)/G11</f>
        <v>100</v>
      </c>
      <c r="K11" s="470">
        <v>18</v>
      </c>
      <c r="L11" s="470">
        <f>(H11*100)/F11</f>
        <v>18.583631621738625</v>
      </c>
      <c r="M11" s="438">
        <f t="shared" si="0"/>
        <v>18.583631621738625</v>
      </c>
      <c r="N11" s="438"/>
      <c r="O11" s="438"/>
      <c r="P11" s="438"/>
      <c r="Q11" s="413"/>
      <c r="R11" s="413"/>
      <c r="S11" s="413"/>
      <c r="T11" s="413"/>
      <c r="U11" s="525"/>
      <c r="W11" s="91"/>
      <c r="X11" s="91"/>
      <c r="Y11" s="91"/>
      <c r="Z11" s="91"/>
      <c r="AC11" s="494"/>
      <c r="AD11" s="91"/>
      <c r="AE11" s="491"/>
    </row>
    <row r="12" spans="1:31" ht="45" hidden="1" x14ac:dyDescent="0.25">
      <c r="A12" s="2">
        <v>1</v>
      </c>
      <c r="B12" s="2">
        <v>2014</v>
      </c>
      <c r="C12" s="2" t="s">
        <v>1873</v>
      </c>
      <c r="D12" s="335" t="s">
        <v>1674</v>
      </c>
      <c r="E12" s="404">
        <v>239838000</v>
      </c>
      <c r="F12" s="325">
        <v>239838000</v>
      </c>
      <c r="G12" s="326">
        <v>0</v>
      </c>
      <c r="H12" s="326">
        <v>0</v>
      </c>
      <c r="I12" s="429">
        <v>0</v>
      </c>
      <c r="J12" s="429">
        <v>0</v>
      </c>
      <c r="K12" s="435">
        <v>0</v>
      </c>
      <c r="L12" s="435">
        <v>0</v>
      </c>
      <c r="M12" s="477">
        <f t="shared" si="0"/>
        <v>0</v>
      </c>
      <c r="N12" s="477">
        <v>100</v>
      </c>
      <c r="O12" s="477">
        <f>(F12*100)/E12</f>
        <v>100</v>
      </c>
      <c r="P12" s="477">
        <v>0</v>
      </c>
      <c r="Q12" s="478"/>
      <c r="R12" s="325"/>
      <c r="S12" s="325"/>
      <c r="T12" s="91"/>
      <c r="U12" s="526">
        <v>500000000</v>
      </c>
      <c r="W12" s="189">
        <v>0</v>
      </c>
      <c r="X12" s="189">
        <v>0</v>
      </c>
      <c r="Y12" s="333">
        <v>0</v>
      </c>
      <c r="Z12" s="333">
        <v>0</v>
      </c>
      <c r="AC12" s="494">
        <v>4</v>
      </c>
      <c r="AD12" s="91"/>
      <c r="AE12" s="491" t="s">
        <v>1748</v>
      </c>
    </row>
    <row r="13" spans="1:31" ht="30" hidden="1" x14ac:dyDescent="0.25">
      <c r="A13" s="2">
        <f>A12+1</f>
        <v>2</v>
      </c>
      <c r="B13" s="2">
        <v>2013</v>
      </c>
      <c r="C13" s="2" t="s">
        <v>1870</v>
      </c>
      <c r="D13" s="335" t="s">
        <v>1895</v>
      </c>
      <c r="E13" s="325">
        <v>599600000</v>
      </c>
      <c r="F13" s="325">
        <v>59815000</v>
      </c>
      <c r="G13" s="388">
        <v>31535000</v>
      </c>
      <c r="H13" s="327">
        <v>31535000</v>
      </c>
      <c r="I13" s="430">
        <v>100</v>
      </c>
      <c r="J13" s="429">
        <f t="shared" ref="J13:J24" si="1">(H13*100)/G13</f>
        <v>100</v>
      </c>
      <c r="K13" s="437">
        <v>52</v>
      </c>
      <c r="L13" s="394">
        <f t="shared" ref="L13:L22" si="2">(H13*100)/F13</f>
        <v>52.720889409011114</v>
      </c>
      <c r="M13" s="477">
        <f t="shared" ref="M13:M16" si="3">(G13*100)/F13</f>
        <v>52.720889409011114</v>
      </c>
      <c r="N13" s="477">
        <v>100</v>
      </c>
      <c r="O13" s="477">
        <f t="shared" ref="O13:O14" si="4">(F13*100)/E13</f>
        <v>9.9758172114743164</v>
      </c>
      <c r="P13" s="477">
        <f>(H13*100)/E13</f>
        <v>5.2593395597064712</v>
      </c>
      <c r="Q13" s="478"/>
      <c r="R13" s="325"/>
      <c r="S13" s="325"/>
      <c r="T13" s="91"/>
      <c r="U13" s="526">
        <v>2000000000</v>
      </c>
      <c r="W13" s="189">
        <v>100</v>
      </c>
      <c r="X13" s="189">
        <v>100</v>
      </c>
      <c r="Y13" s="328">
        <v>50</v>
      </c>
      <c r="Z13" s="329">
        <f>(H13*100)/F13</f>
        <v>52.720889409011114</v>
      </c>
      <c r="AC13" s="494">
        <v>5</v>
      </c>
      <c r="AD13" s="91"/>
      <c r="AE13" s="91" t="s">
        <v>1750</v>
      </c>
    </row>
    <row r="14" spans="1:31" ht="45" hidden="1" x14ac:dyDescent="0.25">
      <c r="A14" s="2">
        <f t="shared" ref="A14:A60" si="5">A13+1</f>
        <v>3</v>
      </c>
      <c r="B14" s="2">
        <v>2013</v>
      </c>
      <c r="C14" s="2" t="s">
        <v>1871</v>
      </c>
      <c r="D14" s="336" t="s">
        <v>1888</v>
      </c>
      <c r="E14" s="325">
        <v>257405600</v>
      </c>
      <c r="F14" s="330">
        <v>94040000</v>
      </c>
      <c r="G14" s="389">
        <v>94040000</v>
      </c>
      <c r="H14" s="331">
        <v>47020000</v>
      </c>
      <c r="I14" s="431">
        <v>100</v>
      </c>
      <c r="J14" s="429">
        <f t="shared" si="1"/>
        <v>50</v>
      </c>
      <c r="K14" s="436">
        <v>100</v>
      </c>
      <c r="L14" s="437">
        <f t="shared" si="2"/>
        <v>50</v>
      </c>
      <c r="M14" s="477">
        <f t="shared" si="3"/>
        <v>100</v>
      </c>
      <c r="N14" s="477">
        <v>100</v>
      </c>
      <c r="O14" s="477">
        <f t="shared" si="4"/>
        <v>36.533781704826936</v>
      </c>
      <c r="P14" s="477">
        <f t="shared" ref="P14:P16" si="6">(H14*100)/E14</f>
        <v>18.266890852413468</v>
      </c>
      <c r="Q14" s="479"/>
      <c r="R14" s="330"/>
      <c r="S14" s="330"/>
      <c r="T14" s="91"/>
      <c r="U14" s="526">
        <v>4000000000</v>
      </c>
      <c r="W14" s="189">
        <v>100</v>
      </c>
      <c r="X14" s="189">
        <v>50</v>
      </c>
      <c r="Y14" s="333">
        <v>100</v>
      </c>
      <c r="Z14" s="333">
        <v>50</v>
      </c>
    </row>
    <row r="15" spans="1:31" ht="30" hidden="1" x14ac:dyDescent="0.25">
      <c r="A15" s="2">
        <f t="shared" si="5"/>
        <v>4</v>
      </c>
      <c r="B15" s="2">
        <v>2013</v>
      </c>
      <c r="C15" s="2" t="s">
        <v>645</v>
      </c>
      <c r="D15" s="337" t="s">
        <v>1679</v>
      </c>
      <c r="E15" s="324">
        <v>252630000</v>
      </c>
      <c r="F15" s="324">
        <v>70000000</v>
      </c>
      <c r="G15" s="387">
        <v>70000000</v>
      </c>
      <c r="H15" s="324">
        <v>70000000</v>
      </c>
      <c r="I15" s="432">
        <v>100</v>
      </c>
      <c r="J15" s="429">
        <f t="shared" si="1"/>
        <v>100</v>
      </c>
      <c r="K15" s="438">
        <v>100</v>
      </c>
      <c r="L15" s="437">
        <f t="shared" si="2"/>
        <v>100</v>
      </c>
      <c r="M15" s="477">
        <f t="shared" si="3"/>
        <v>100</v>
      </c>
      <c r="N15" s="477">
        <v>100</v>
      </c>
      <c r="O15" s="477">
        <f>(F15*100)/E15</f>
        <v>27.708506511499031</v>
      </c>
      <c r="P15" s="477">
        <f t="shared" si="6"/>
        <v>27.708506511499031</v>
      </c>
      <c r="Q15" s="478"/>
      <c r="R15" s="324"/>
      <c r="S15" s="324"/>
      <c r="T15" s="91"/>
      <c r="U15" s="526">
        <v>6000000000</v>
      </c>
      <c r="W15" s="189">
        <v>100</v>
      </c>
      <c r="X15" s="189">
        <v>100</v>
      </c>
      <c r="Y15" s="332">
        <v>100</v>
      </c>
      <c r="Z15" s="332">
        <v>100</v>
      </c>
      <c r="AA15" s="284"/>
    </row>
    <row r="16" spans="1:31" ht="30" hidden="1" x14ac:dyDescent="0.25">
      <c r="A16" s="2">
        <f t="shared" si="5"/>
        <v>5</v>
      </c>
      <c r="B16" s="408" t="s">
        <v>1673</v>
      </c>
      <c r="C16" s="408" t="s">
        <v>1871</v>
      </c>
      <c r="D16" s="409" t="s">
        <v>1680</v>
      </c>
      <c r="E16" s="410">
        <v>15321950000</v>
      </c>
      <c r="F16" s="411">
        <v>5775300000</v>
      </c>
      <c r="G16" s="411">
        <v>364760000</v>
      </c>
      <c r="H16" s="410">
        <v>364760000</v>
      </c>
      <c r="I16" s="433">
        <v>100</v>
      </c>
      <c r="J16" s="434">
        <f t="shared" si="1"/>
        <v>100</v>
      </c>
      <c r="K16" s="433">
        <v>6</v>
      </c>
      <c r="L16" s="412">
        <f t="shared" si="2"/>
        <v>6.3158623794434918</v>
      </c>
      <c r="M16" s="477">
        <f t="shared" si="3"/>
        <v>6.3158623794434918</v>
      </c>
      <c r="N16" s="477">
        <v>100</v>
      </c>
      <c r="O16" s="477">
        <f>(F16*100)/E16</f>
        <v>37.692982942771643</v>
      </c>
      <c r="P16" s="477">
        <f t="shared" si="6"/>
        <v>2.3806369293725669</v>
      </c>
      <c r="Q16" s="480">
        <v>5775300000</v>
      </c>
      <c r="R16" s="410"/>
      <c r="S16" s="411"/>
      <c r="T16" s="422"/>
      <c r="U16" s="526">
        <v>15000000000</v>
      </c>
      <c r="V16" s="343"/>
      <c r="W16" s="189">
        <v>100</v>
      </c>
      <c r="X16" s="189">
        <v>100</v>
      </c>
      <c r="Y16" s="189">
        <v>19</v>
      </c>
      <c r="Z16" s="333" t="e">
        <f>(H16*100)/#REF!</f>
        <v>#REF!</v>
      </c>
      <c r="AA16" s="284"/>
    </row>
    <row r="17" spans="1:31" ht="30" hidden="1" x14ac:dyDescent="0.25">
      <c r="A17" s="2">
        <f t="shared" si="5"/>
        <v>6</v>
      </c>
      <c r="B17" s="91">
        <v>2013</v>
      </c>
      <c r="C17" s="2" t="s">
        <v>1874</v>
      </c>
      <c r="D17" s="6" t="s">
        <v>1889</v>
      </c>
      <c r="E17" s="314">
        <v>284592000</v>
      </c>
      <c r="F17" s="314">
        <v>265963236</v>
      </c>
      <c r="G17" s="439">
        <v>265963236</v>
      </c>
      <c r="H17" s="544">
        <v>53192647</v>
      </c>
      <c r="I17" s="441">
        <v>90</v>
      </c>
      <c r="J17" s="442">
        <f t="shared" si="1"/>
        <v>19.999999924801635</v>
      </c>
      <c r="K17" s="438">
        <v>90</v>
      </c>
      <c r="L17" s="438">
        <f t="shared" si="2"/>
        <v>19.999999924801635</v>
      </c>
      <c r="M17" s="438">
        <f>(G17*100)/F17</f>
        <v>100</v>
      </c>
      <c r="N17" s="438"/>
      <c r="O17" s="438"/>
      <c r="P17" s="438"/>
      <c r="Q17" s="314"/>
      <c r="R17" s="314"/>
      <c r="S17" s="314"/>
      <c r="T17" s="91"/>
      <c r="U17" s="85"/>
      <c r="W17" s="91">
        <v>90</v>
      </c>
      <c r="X17" s="323">
        <v>20</v>
      </c>
      <c r="Y17" s="323">
        <v>90</v>
      </c>
      <c r="Z17" s="333">
        <f t="shared" ref="Z17:Z26" si="7">(H17*100)/F17</f>
        <v>19.999999924801635</v>
      </c>
      <c r="AA17" s="284"/>
    </row>
    <row r="18" spans="1:31" ht="72" hidden="1" customHeight="1" x14ac:dyDescent="0.25">
      <c r="A18" s="2">
        <f>A45+1</f>
        <v>29</v>
      </c>
      <c r="B18" s="408" t="s">
        <v>1673</v>
      </c>
      <c r="C18" s="408" t="s">
        <v>1875</v>
      </c>
      <c r="D18" s="242" t="s">
        <v>1642</v>
      </c>
      <c r="E18" s="416">
        <v>2226660345</v>
      </c>
      <c r="F18" s="416">
        <v>709800000</v>
      </c>
      <c r="G18" s="439"/>
      <c r="H18" s="416">
        <v>0</v>
      </c>
      <c r="I18" s="452">
        <v>0</v>
      </c>
      <c r="J18" s="451" t="e">
        <f>(H18*100)/#REF!</f>
        <v>#REF!</v>
      </c>
      <c r="K18" s="464">
        <v>0</v>
      </c>
      <c r="L18" s="469">
        <f t="shared" si="2"/>
        <v>0</v>
      </c>
      <c r="M18" s="438" t="e">
        <f>(#REF!*100)/F18</f>
        <v>#REF!</v>
      </c>
      <c r="N18" s="438"/>
      <c r="O18" s="438"/>
      <c r="P18" s="438"/>
      <c r="Q18" s="408">
        <v>709800000</v>
      </c>
      <c r="R18" s="408">
        <v>741741000</v>
      </c>
      <c r="S18" s="408">
        <v>775119000</v>
      </c>
      <c r="T18" s="415">
        <f>Q18+R18+S18</f>
        <v>2226660000</v>
      </c>
      <c r="U18" s="522"/>
      <c r="W18" s="91"/>
      <c r="X18" s="323"/>
      <c r="Y18" s="323"/>
      <c r="Z18" s="333"/>
      <c r="AA18" s="284"/>
    </row>
    <row r="19" spans="1:31" ht="65.25" hidden="1" customHeight="1" x14ac:dyDescent="0.25">
      <c r="A19" s="2">
        <f>A60+1</f>
        <v>45</v>
      </c>
      <c r="B19" s="400">
        <v>2014</v>
      </c>
      <c r="C19" s="400" t="s">
        <v>1876</v>
      </c>
      <c r="D19" s="400" t="s">
        <v>154</v>
      </c>
      <c r="E19" s="428">
        <v>1934866000</v>
      </c>
      <c r="F19" s="428">
        <f>719439000+R19</f>
        <v>1934866000</v>
      </c>
      <c r="G19" s="428">
        <v>1934866000</v>
      </c>
      <c r="H19" s="428">
        <v>802726290.92000008</v>
      </c>
      <c r="I19" s="426">
        <v>10</v>
      </c>
      <c r="J19" s="426">
        <f>(H19*100)/G19</f>
        <v>41.48743586997756</v>
      </c>
      <c r="K19" s="426">
        <v>10</v>
      </c>
      <c r="L19" s="427">
        <f t="shared" si="2"/>
        <v>41.48743586997756</v>
      </c>
      <c r="M19" s="128">
        <f>(G19*100)/F19</f>
        <v>100</v>
      </c>
      <c r="N19" s="128"/>
      <c r="O19" s="128"/>
      <c r="P19" s="128"/>
      <c r="Q19" s="428">
        <v>719439000</v>
      </c>
      <c r="R19" s="428">
        <v>1215427000</v>
      </c>
      <c r="S19" s="428"/>
      <c r="T19" s="425">
        <f>Q19+R19</f>
        <v>1934866000</v>
      </c>
      <c r="U19" s="425"/>
      <c r="W19" s="91"/>
      <c r="X19" s="323"/>
      <c r="Y19" s="323"/>
      <c r="Z19" s="333"/>
      <c r="AA19" s="284"/>
    </row>
    <row r="20" spans="1:31" ht="65.25" hidden="1" customHeight="1" x14ac:dyDescent="0.25">
      <c r="A20" s="2">
        <f>A43+1</f>
        <v>25</v>
      </c>
      <c r="B20" s="126">
        <v>2013</v>
      </c>
      <c r="C20" s="126" t="s">
        <v>1875</v>
      </c>
      <c r="D20" s="6" t="s">
        <v>1669</v>
      </c>
      <c r="E20" s="545">
        <v>845116000</v>
      </c>
      <c r="F20" s="545">
        <v>845116000</v>
      </c>
      <c r="G20" s="545">
        <f>718348600+124862153</f>
        <v>843210753</v>
      </c>
      <c r="H20" s="321">
        <v>124862153</v>
      </c>
      <c r="I20" s="445">
        <v>50</v>
      </c>
      <c r="J20" s="449">
        <f>(H20*100)/G20</f>
        <v>14.807941259733912</v>
      </c>
      <c r="K20" s="465">
        <v>50</v>
      </c>
      <c r="L20" s="472">
        <f t="shared" si="2"/>
        <v>14.774557930508948</v>
      </c>
      <c r="M20" s="438">
        <f>(G20*100)/F20</f>
        <v>99.774557930508948</v>
      </c>
      <c r="N20" s="438"/>
      <c r="O20" s="438"/>
      <c r="P20" s="438"/>
      <c r="Q20" s="350">
        <f>F20-H20</f>
        <v>720253847</v>
      </c>
      <c r="R20" s="350"/>
      <c r="S20" s="350"/>
      <c r="T20" s="387">
        <f>Q20+R20+S20</f>
        <v>720253847</v>
      </c>
      <c r="U20" s="417"/>
      <c r="W20" s="91"/>
      <c r="X20" s="323"/>
      <c r="Y20" s="323"/>
      <c r="Z20" s="333"/>
      <c r="AA20" s="284"/>
    </row>
    <row r="21" spans="1:31" ht="65.25" hidden="1" customHeight="1" x14ac:dyDescent="0.25">
      <c r="A21" s="2">
        <f>A27+1</f>
        <v>33</v>
      </c>
      <c r="B21" s="50">
        <v>2013</v>
      </c>
      <c r="C21" s="47" t="s">
        <v>1875</v>
      </c>
      <c r="D21" s="6" t="s">
        <v>1660</v>
      </c>
      <c r="E21" s="527">
        <v>801656000</v>
      </c>
      <c r="F21" s="527">
        <v>220270000</v>
      </c>
      <c r="G21" s="527">
        <v>220270000</v>
      </c>
      <c r="H21" s="527">
        <v>0</v>
      </c>
      <c r="I21" s="443">
        <v>0</v>
      </c>
      <c r="J21" s="449">
        <f>(H21*100)/G21</f>
        <v>0</v>
      </c>
      <c r="K21" s="438">
        <v>0</v>
      </c>
      <c r="L21" s="472">
        <f t="shared" si="2"/>
        <v>0</v>
      </c>
      <c r="M21" s="438">
        <f>(G21*100)/F21</f>
        <v>100</v>
      </c>
      <c r="N21" s="438"/>
      <c r="O21" s="438"/>
      <c r="P21" s="438"/>
      <c r="Q21" s="50"/>
      <c r="R21" s="50"/>
      <c r="S21" s="50"/>
      <c r="T21" s="50"/>
      <c r="U21" s="418"/>
      <c r="W21" s="91"/>
      <c r="X21" s="323"/>
      <c r="Y21" s="323"/>
      <c r="Z21" s="333"/>
      <c r="AA21" s="284"/>
    </row>
    <row r="22" spans="1:31" ht="65.25" hidden="1" customHeight="1" x14ac:dyDescent="0.25">
      <c r="A22" s="2">
        <f>A26+1</f>
        <v>11</v>
      </c>
      <c r="B22" s="91">
        <v>2013</v>
      </c>
      <c r="C22" s="2" t="s">
        <v>1875</v>
      </c>
      <c r="D22" s="6" t="s">
        <v>897</v>
      </c>
      <c r="E22" s="314">
        <v>388861227</v>
      </c>
      <c r="F22" s="314">
        <v>388861227</v>
      </c>
      <c r="G22" s="314">
        <v>233074149.03999999</v>
      </c>
      <c r="H22" s="314">
        <v>46614829.810000002</v>
      </c>
      <c r="I22" s="443">
        <v>50</v>
      </c>
      <c r="J22" s="442">
        <f>(H22*100)/G22</f>
        <v>20.000000000858098</v>
      </c>
      <c r="K22" s="438">
        <v>40</v>
      </c>
      <c r="L22" s="438">
        <f t="shared" si="2"/>
        <v>11.987523201946797</v>
      </c>
      <c r="M22" s="438">
        <f>(G22*100)/F22</f>
        <v>59.937616007162369</v>
      </c>
      <c r="N22" s="438"/>
      <c r="O22" s="438"/>
      <c r="P22" s="438"/>
      <c r="Q22" s="314"/>
      <c r="R22" s="314"/>
      <c r="S22" s="314"/>
      <c r="T22" s="91"/>
      <c r="U22" s="85"/>
      <c r="W22" s="91"/>
      <c r="X22" s="323"/>
      <c r="Y22" s="323"/>
      <c r="Z22" s="333"/>
      <c r="AA22" s="284"/>
    </row>
    <row r="23" spans="1:31" ht="30" hidden="1" x14ac:dyDescent="0.25">
      <c r="A23" s="2">
        <f>A17+1</f>
        <v>7</v>
      </c>
      <c r="B23" s="91">
        <v>2013</v>
      </c>
      <c r="C23" s="2" t="s">
        <v>1875</v>
      </c>
      <c r="D23" s="6" t="s">
        <v>165</v>
      </c>
      <c r="E23" s="314">
        <v>316875000</v>
      </c>
      <c r="F23" s="314">
        <v>295550758.41000003</v>
      </c>
      <c r="G23" s="314">
        <v>295550758.41000003</v>
      </c>
      <c r="H23" s="546">
        <v>147775379</v>
      </c>
      <c r="I23" s="443">
        <v>100</v>
      </c>
      <c r="J23" s="442">
        <f t="shared" si="1"/>
        <v>49.999999930637969</v>
      </c>
      <c r="K23" s="438">
        <v>100</v>
      </c>
      <c r="L23" s="438">
        <f t="shared" ref="L23:L46" si="8">(H23*100)/F23</f>
        <v>49.999999930637969</v>
      </c>
      <c r="M23" s="438">
        <f t="shared" ref="M23:M46" si="9">(G23*100)/F23</f>
        <v>100</v>
      </c>
      <c r="N23" s="438"/>
      <c r="O23" s="438"/>
      <c r="P23" s="438"/>
      <c r="Q23" s="314"/>
      <c r="R23" s="314"/>
      <c r="S23" s="314"/>
      <c r="T23" s="91"/>
      <c r="U23" s="85"/>
      <c r="W23" s="91">
        <v>100</v>
      </c>
      <c r="X23" s="323">
        <f>(H23*100)/F23</f>
        <v>49.999999930637969</v>
      </c>
      <c r="Y23" s="323">
        <v>100</v>
      </c>
      <c r="Z23" s="333">
        <f t="shared" si="7"/>
        <v>49.999999930637969</v>
      </c>
      <c r="AA23" s="284"/>
      <c r="AE23" s="6" t="s">
        <v>1751</v>
      </c>
    </row>
    <row r="24" spans="1:31" ht="45" hidden="1" x14ac:dyDescent="0.25">
      <c r="A24" s="2">
        <f t="shared" si="5"/>
        <v>8</v>
      </c>
      <c r="B24" s="91">
        <v>2013</v>
      </c>
      <c r="C24" s="20" t="s">
        <v>1878</v>
      </c>
      <c r="D24" s="98" t="s">
        <v>804</v>
      </c>
      <c r="E24" s="321">
        <v>142360000</v>
      </c>
      <c r="F24" s="321">
        <v>142360000</v>
      </c>
      <c r="G24" s="321">
        <v>93758000</v>
      </c>
      <c r="H24" s="321">
        <v>93758000</v>
      </c>
      <c r="I24" s="444">
        <v>100</v>
      </c>
      <c r="J24" s="442">
        <f t="shared" si="1"/>
        <v>100</v>
      </c>
      <c r="K24" s="438">
        <v>100</v>
      </c>
      <c r="L24" s="438">
        <f t="shared" si="8"/>
        <v>65.859792076425961</v>
      </c>
      <c r="M24" s="438">
        <f t="shared" si="9"/>
        <v>65.859792076425961</v>
      </c>
      <c r="N24" s="438"/>
      <c r="O24" s="438"/>
      <c r="P24" s="438"/>
      <c r="Q24" s="321"/>
      <c r="R24" s="321"/>
      <c r="S24" s="321"/>
      <c r="T24" s="91"/>
      <c r="U24" s="85"/>
      <c r="W24" s="91">
        <v>100</v>
      </c>
      <c r="X24" s="323">
        <f>(H24*100)/F24</f>
        <v>65.859792076425961</v>
      </c>
      <c r="Y24" s="323">
        <v>100</v>
      </c>
      <c r="Z24" s="333">
        <f t="shared" si="7"/>
        <v>65.859792076425961</v>
      </c>
      <c r="AA24" s="284"/>
      <c r="AE24" s="6" t="s">
        <v>1752</v>
      </c>
    </row>
    <row r="25" spans="1:31" ht="45" hidden="1" x14ac:dyDescent="0.25">
      <c r="A25" s="2">
        <f t="shared" si="5"/>
        <v>9</v>
      </c>
      <c r="B25" s="247">
        <v>2013</v>
      </c>
      <c r="C25" s="242" t="s">
        <v>1878</v>
      </c>
      <c r="D25" s="458" t="s">
        <v>836</v>
      </c>
      <c r="E25" s="416">
        <v>386530000</v>
      </c>
      <c r="F25" s="416">
        <f>Q25</f>
        <v>136912000</v>
      </c>
      <c r="G25" s="416">
        <v>127079981</v>
      </c>
      <c r="H25" s="416">
        <v>120479981</v>
      </c>
      <c r="I25" s="452">
        <v>100</v>
      </c>
      <c r="J25" s="459">
        <v>83.3</v>
      </c>
      <c r="K25" s="464">
        <v>88</v>
      </c>
      <c r="L25" s="464">
        <f>(H25*100)/F25</f>
        <v>87.998116308285617</v>
      </c>
      <c r="M25" s="438">
        <f t="shared" si="9"/>
        <v>92.818731009699661</v>
      </c>
      <c r="N25" s="438"/>
      <c r="O25" s="438"/>
      <c r="P25" s="438"/>
      <c r="Q25" s="416">
        <v>136912000</v>
      </c>
      <c r="R25" s="416">
        <v>168605000</v>
      </c>
      <c r="S25" s="416">
        <v>81013000</v>
      </c>
      <c r="T25" s="422">
        <f>Q25+R25+S25</f>
        <v>386530000</v>
      </c>
      <c r="U25" s="521"/>
      <c r="V25" s="343"/>
      <c r="W25" s="2">
        <v>100</v>
      </c>
      <c r="X25" s="344">
        <v>83</v>
      </c>
      <c r="Y25" s="344">
        <v>30</v>
      </c>
      <c r="Z25" s="344">
        <f t="shared" si="7"/>
        <v>87.998116308285617</v>
      </c>
      <c r="AA25" s="284"/>
      <c r="AE25" s="98" t="s">
        <v>1753</v>
      </c>
    </row>
    <row r="26" spans="1:31" ht="45" hidden="1" x14ac:dyDescent="0.25">
      <c r="A26" s="2">
        <f t="shared" si="5"/>
        <v>10</v>
      </c>
      <c r="B26" s="247">
        <v>2013</v>
      </c>
      <c r="C26" s="408" t="s">
        <v>1880</v>
      </c>
      <c r="D26" s="460" t="s">
        <v>872</v>
      </c>
      <c r="E26" s="422">
        <v>236486000</v>
      </c>
      <c r="F26" s="422">
        <f>Q26</f>
        <v>40000000</v>
      </c>
      <c r="G26" s="422">
        <v>9900000</v>
      </c>
      <c r="H26" s="422">
        <v>9900000</v>
      </c>
      <c r="I26" s="461">
        <v>100</v>
      </c>
      <c r="J26" s="459">
        <f>(H26*100)/G26</f>
        <v>100</v>
      </c>
      <c r="K26" s="464">
        <v>25</v>
      </c>
      <c r="L26" s="464">
        <f t="shared" si="8"/>
        <v>24.75</v>
      </c>
      <c r="M26" s="438">
        <f t="shared" si="9"/>
        <v>24.75</v>
      </c>
      <c r="N26" s="438"/>
      <c r="O26" s="438"/>
      <c r="P26" s="438"/>
      <c r="Q26" s="422">
        <v>40000000</v>
      </c>
      <c r="R26" s="422">
        <v>98242000</v>
      </c>
      <c r="S26" s="422">
        <v>98244000</v>
      </c>
      <c r="T26" s="422">
        <f>Q26+R26+S26</f>
        <v>236486000</v>
      </c>
      <c r="U26" s="521"/>
      <c r="V26" s="343"/>
      <c r="W26" s="2">
        <v>100</v>
      </c>
      <c r="X26" s="344">
        <f>(H26*100)/Q26</f>
        <v>24.75</v>
      </c>
      <c r="Y26" s="344">
        <v>4</v>
      </c>
      <c r="Z26" s="344">
        <f t="shared" si="7"/>
        <v>24.75</v>
      </c>
      <c r="AA26" s="284"/>
      <c r="AE26" s="458" t="s">
        <v>1754</v>
      </c>
    </row>
    <row r="27" spans="1:31" ht="71.25" hidden="1" customHeight="1" x14ac:dyDescent="0.25">
      <c r="A27" s="2">
        <f>A46+1</f>
        <v>32</v>
      </c>
      <c r="B27" s="408" t="s">
        <v>1689</v>
      </c>
      <c r="C27" s="408" t="s">
        <v>1875</v>
      </c>
      <c r="D27" s="242" t="s">
        <v>1657</v>
      </c>
      <c r="E27" s="549">
        <v>288087000</v>
      </c>
      <c r="F27" s="549">
        <v>288087000</v>
      </c>
      <c r="G27" s="416">
        <v>0</v>
      </c>
      <c r="H27" s="519">
        <v>0</v>
      </c>
      <c r="I27" s="452">
        <v>0</v>
      </c>
      <c r="J27" s="451">
        <v>0</v>
      </c>
      <c r="K27" s="464">
        <v>0</v>
      </c>
      <c r="L27" s="469">
        <f>(H27*100)/F27</f>
        <v>0</v>
      </c>
      <c r="M27" s="438">
        <f>(G27*100)/F27</f>
        <v>0</v>
      </c>
      <c r="N27" s="438"/>
      <c r="O27" s="438"/>
      <c r="P27" s="438"/>
      <c r="Q27" s="408"/>
      <c r="R27" s="408">
        <v>139284000</v>
      </c>
      <c r="S27" s="408">
        <v>148803000</v>
      </c>
      <c r="T27" s="415">
        <f>Q27+R27+S27</f>
        <v>288087000</v>
      </c>
      <c r="U27" s="522"/>
      <c r="W27" s="2">
        <v>50</v>
      </c>
      <c r="X27" s="344" t="e">
        <f>(H22*100)/Q22</f>
        <v>#DIV/0!</v>
      </c>
      <c r="Y27" s="344">
        <v>50</v>
      </c>
      <c r="Z27" s="344">
        <f>(H22*100)/F22</f>
        <v>11.987523201946797</v>
      </c>
      <c r="AA27" s="284"/>
      <c r="AE27" s="460" t="s">
        <v>1755</v>
      </c>
    </row>
    <row r="28" spans="1:31" ht="30" hidden="1" x14ac:dyDescent="0.25">
      <c r="A28" s="2">
        <f>A22+1</f>
        <v>12</v>
      </c>
      <c r="B28" s="47">
        <v>2013</v>
      </c>
      <c r="C28" s="6" t="s">
        <v>1878</v>
      </c>
      <c r="D28" s="20" t="s">
        <v>1347</v>
      </c>
      <c r="E28" s="321">
        <v>249210000</v>
      </c>
      <c r="F28" s="321">
        <v>109700000</v>
      </c>
      <c r="G28" s="321">
        <v>0</v>
      </c>
      <c r="H28" s="321"/>
      <c r="I28" s="444">
        <v>0</v>
      </c>
      <c r="J28" s="442">
        <v>0</v>
      </c>
      <c r="K28" s="438">
        <v>0</v>
      </c>
      <c r="L28" s="438">
        <v>0</v>
      </c>
      <c r="M28" s="438">
        <f t="shared" si="9"/>
        <v>0</v>
      </c>
      <c r="N28" s="438"/>
      <c r="O28" s="438"/>
      <c r="P28" s="438"/>
      <c r="Q28" s="321">
        <v>109700000</v>
      </c>
      <c r="R28" s="2"/>
      <c r="S28" s="2"/>
      <c r="T28" s="91"/>
      <c r="U28" s="85"/>
      <c r="W28" s="2"/>
      <c r="X28" s="344"/>
      <c r="Y28" s="344">
        <v>50</v>
      </c>
      <c r="Z28" s="344"/>
      <c r="AA28" s="284" t="s">
        <v>1681</v>
      </c>
      <c r="AE28" s="6" t="s">
        <v>1756</v>
      </c>
    </row>
    <row r="29" spans="1:31" ht="30" hidden="1" x14ac:dyDescent="0.25">
      <c r="A29" s="2">
        <f>A37+1</f>
        <v>21</v>
      </c>
      <c r="B29" s="127">
        <v>2014</v>
      </c>
      <c r="C29" s="127" t="s">
        <v>1351</v>
      </c>
      <c r="D29" s="335" t="s">
        <v>1180</v>
      </c>
      <c r="E29" s="541">
        <v>10000000000</v>
      </c>
      <c r="F29" s="541">
        <v>10000000000</v>
      </c>
      <c r="G29" s="541">
        <v>727500000</v>
      </c>
      <c r="H29" s="541">
        <v>2012272803</v>
      </c>
      <c r="I29" s="446">
        <v>20</v>
      </c>
      <c r="J29" s="447">
        <v>100</v>
      </c>
      <c r="K29" s="466">
        <v>2</v>
      </c>
      <c r="L29" s="471">
        <f>(H29*100)/F29</f>
        <v>20.122728030000001</v>
      </c>
      <c r="M29" s="438">
        <f t="shared" ref="M29:M35" si="10">(G29*100)/F29</f>
        <v>7.2750000000000004</v>
      </c>
      <c r="N29" s="438"/>
      <c r="O29" s="438"/>
      <c r="P29" s="438"/>
      <c r="Q29" s="321"/>
      <c r="R29" s="2"/>
      <c r="S29" s="2"/>
      <c r="T29" s="91"/>
      <c r="U29" s="85"/>
      <c r="W29" s="2"/>
      <c r="X29" s="344"/>
      <c r="Y29" s="344"/>
      <c r="Z29" s="344"/>
      <c r="AA29" s="284"/>
      <c r="AE29" s="6"/>
    </row>
    <row r="30" spans="1:31" ht="30" hidden="1" x14ac:dyDescent="0.25">
      <c r="A30" s="2">
        <f>A29+1</f>
        <v>22</v>
      </c>
      <c r="B30" s="397">
        <v>2013</v>
      </c>
      <c r="C30" s="397" t="s">
        <v>1351</v>
      </c>
      <c r="D30" s="398" t="s">
        <v>1205</v>
      </c>
      <c r="E30" s="553">
        <v>2944008000</v>
      </c>
      <c r="F30" s="553">
        <v>2944008000</v>
      </c>
      <c r="G30" s="553">
        <v>2401500000</v>
      </c>
      <c r="H30" s="553">
        <v>715949508</v>
      </c>
      <c r="I30" s="448">
        <v>82</v>
      </c>
      <c r="J30" s="449">
        <v>32</v>
      </c>
      <c r="K30" s="467">
        <v>60</v>
      </c>
      <c r="L30" s="472">
        <f>(H30*100)/F30</f>
        <v>24.318871008502693</v>
      </c>
      <c r="M30" s="438">
        <f t="shared" si="10"/>
        <v>81.572468553074586</v>
      </c>
      <c r="N30" s="438"/>
      <c r="O30" s="438"/>
      <c r="P30" s="438"/>
      <c r="Q30" s="321"/>
      <c r="R30" s="2"/>
      <c r="S30" s="2"/>
      <c r="T30" s="91"/>
      <c r="U30" s="85"/>
      <c r="W30" s="2"/>
      <c r="X30" s="344"/>
      <c r="Y30" s="344"/>
      <c r="Z30" s="344"/>
      <c r="AA30" s="284"/>
      <c r="AE30" s="6"/>
    </row>
    <row r="31" spans="1:31" ht="30" hidden="1" x14ac:dyDescent="0.25">
      <c r="A31" s="2">
        <f>A39+1</f>
        <v>19</v>
      </c>
      <c r="B31" s="127">
        <v>2013</v>
      </c>
      <c r="C31" s="127" t="s">
        <v>1351</v>
      </c>
      <c r="D31" s="127" t="s">
        <v>1685</v>
      </c>
      <c r="E31" s="541">
        <v>490000000</v>
      </c>
      <c r="F31" s="541">
        <v>490000000</v>
      </c>
      <c r="G31" s="541">
        <v>987000000</v>
      </c>
      <c r="H31" s="541">
        <v>810000000</v>
      </c>
      <c r="I31" s="445">
        <v>96</v>
      </c>
      <c r="J31" s="442">
        <v>89</v>
      </c>
      <c r="K31" s="465">
        <v>96</v>
      </c>
      <c r="L31" s="471">
        <v>89</v>
      </c>
      <c r="M31" s="438">
        <f t="shared" si="10"/>
        <v>201.42857142857142</v>
      </c>
      <c r="N31" s="438"/>
      <c r="O31" s="438"/>
      <c r="P31" s="438"/>
      <c r="Q31" s="321"/>
      <c r="R31" s="2"/>
      <c r="S31" s="2"/>
      <c r="T31" s="91"/>
      <c r="U31" s="85"/>
      <c r="W31" s="2"/>
      <c r="X31" s="344"/>
      <c r="Y31" s="344"/>
      <c r="Z31" s="344"/>
      <c r="AA31" s="284"/>
      <c r="AE31" s="6"/>
    </row>
    <row r="32" spans="1:31" hidden="1" x14ac:dyDescent="0.25">
      <c r="A32" s="2">
        <f>A35+1</f>
        <v>14</v>
      </c>
      <c r="B32" s="127">
        <v>2013</v>
      </c>
      <c r="C32" s="127" t="s">
        <v>1351</v>
      </c>
      <c r="D32" s="335" t="s">
        <v>1686</v>
      </c>
      <c r="E32" s="541">
        <v>369000000</v>
      </c>
      <c r="F32" s="541">
        <f>E32+110000000</f>
        <v>479000000</v>
      </c>
      <c r="G32" s="541">
        <v>443000000</v>
      </c>
      <c r="H32" s="543">
        <v>158437500</v>
      </c>
      <c r="I32" s="445">
        <v>44.4</v>
      </c>
      <c r="J32" s="442">
        <v>44.4</v>
      </c>
      <c r="K32" s="465">
        <v>41</v>
      </c>
      <c r="L32" s="438">
        <f>(H32*100)/F32</f>
        <v>33.07672233820459</v>
      </c>
      <c r="M32" s="438">
        <f t="shared" si="10"/>
        <v>92.48434237995825</v>
      </c>
      <c r="N32" s="438"/>
      <c r="O32" s="438"/>
      <c r="P32" s="438"/>
      <c r="Q32" s="321"/>
      <c r="R32" s="2"/>
      <c r="S32" s="2"/>
      <c r="T32" s="91"/>
      <c r="U32" s="85"/>
      <c r="W32" s="2"/>
      <c r="X32" s="344"/>
      <c r="Y32" s="344"/>
      <c r="Z32" s="344"/>
      <c r="AA32" s="284"/>
      <c r="AE32" s="6"/>
    </row>
    <row r="33" spans="1:31" ht="45" hidden="1" x14ac:dyDescent="0.25">
      <c r="A33" s="2">
        <f>A36+1</f>
        <v>16</v>
      </c>
      <c r="B33" s="127">
        <v>2013</v>
      </c>
      <c r="C33" s="127" t="s">
        <v>1351</v>
      </c>
      <c r="D33" s="335" t="s">
        <v>1113</v>
      </c>
      <c r="E33" s="541">
        <v>355000000</v>
      </c>
      <c r="F33" s="541">
        <v>355000000</v>
      </c>
      <c r="G33" s="541">
        <v>354999220</v>
      </c>
      <c r="H33" s="541">
        <v>354999220</v>
      </c>
      <c r="I33" s="445">
        <v>100</v>
      </c>
      <c r="J33" s="442">
        <f>(H33*100)/G33</f>
        <v>100</v>
      </c>
      <c r="K33" s="465">
        <v>100</v>
      </c>
      <c r="L33" s="438">
        <f>(H33*100)/F33</f>
        <v>99.999780281690136</v>
      </c>
      <c r="M33" s="438">
        <f t="shared" si="10"/>
        <v>99.999780281690136</v>
      </c>
      <c r="N33" s="438"/>
      <c r="O33" s="438"/>
      <c r="P33" s="438"/>
      <c r="Q33" s="321"/>
      <c r="R33" s="2"/>
      <c r="S33" s="2"/>
      <c r="T33" s="91"/>
      <c r="U33" s="85"/>
      <c r="W33" s="2"/>
      <c r="X33" s="344"/>
      <c r="Y33" s="344"/>
      <c r="Z33" s="344"/>
      <c r="AA33" s="284"/>
      <c r="AE33" s="6"/>
    </row>
    <row r="34" spans="1:31" ht="60" hidden="1" x14ac:dyDescent="0.25">
      <c r="A34" s="2">
        <f>A33+1</f>
        <v>17</v>
      </c>
      <c r="B34" s="127">
        <v>2013</v>
      </c>
      <c r="C34" s="127" t="s">
        <v>1877</v>
      </c>
      <c r="D34" s="127" t="s">
        <v>1683</v>
      </c>
      <c r="E34" s="541">
        <v>354799950</v>
      </c>
      <c r="F34" s="541">
        <v>354799950</v>
      </c>
      <c r="G34" s="541">
        <v>354128456</v>
      </c>
      <c r="H34" s="541">
        <v>354128456</v>
      </c>
      <c r="I34" s="445">
        <v>100</v>
      </c>
      <c r="J34" s="442">
        <f>(H34*100)/G34</f>
        <v>100</v>
      </c>
      <c r="K34" s="465">
        <v>100</v>
      </c>
      <c r="L34" s="438">
        <f>(H34*100)/F34</f>
        <v>99.81074010861613</v>
      </c>
      <c r="M34" s="438">
        <f t="shared" si="10"/>
        <v>99.81074010861613</v>
      </c>
      <c r="N34" s="438"/>
      <c r="O34" s="438"/>
      <c r="P34" s="438"/>
      <c r="Q34" s="347"/>
      <c r="R34" s="347"/>
      <c r="S34" s="347"/>
      <c r="T34" s="91"/>
      <c r="U34" s="85"/>
      <c r="W34" s="127">
        <v>53.7</v>
      </c>
      <c r="X34" s="348">
        <v>52.8</v>
      </c>
      <c r="Y34" s="345">
        <v>35</v>
      </c>
      <c r="Z34" s="345">
        <f>(H35*100)/F35</f>
        <v>53.744151255696202</v>
      </c>
      <c r="AA34" s="284"/>
      <c r="AE34" s="20" t="s">
        <v>1757</v>
      </c>
    </row>
    <row r="35" spans="1:31" hidden="1" x14ac:dyDescent="0.25">
      <c r="A35" s="2">
        <f>A28+1</f>
        <v>13</v>
      </c>
      <c r="B35" s="127">
        <v>2013</v>
      </c>
      <c r="C35" s="127" t="s">
        <v>1351</v>
      </c>
      <c r="D35" s="335" t="s">
        <v>1042</v>
      </c>
      <c r="E35" s="541">
        <v>225000000</v>
      </c>
      <c r="F35" s="541">
        <f>225000000+407000000</f>
        <v>632000000</v>
      </c>
      <c r="G35" s="541">
        <v>570399992</v>
      </c>
      <c r="H35" s="541">
        <v>339663035.93599999</v>
      </c>
      <c r="I35" s="445">
        <v>54</v>
      </c>
      <c r="J35" s="442">
        <v>53</v>
      </c>
      <c r="K35" s="465">
        <v>48</v>
      </c>
      <c r="L35" s="438">
        <f>(H35*100)/F35</f>
        <v>53.744151255696202</v>
      </c>
      <c r="M35" s="438">
        <f t="shared" si="10"/>
        <v>90.253163291139245</v>
      </c>
      <c r="N35" s="438"/>
      <c r="O35" s="438"/>
      <c r="P35" s="438"/>
      <c r="Q35" s="347"/>
      <c r="R35" s="347"/>
      <c r="S35" s="347"/>
      <c r="T35" s="91"/>
      <c r="U35" s="85"/>
      <c r="W35" s="127">
        <v>44.4</v>
      </c>
      <c r="X35" s="345">
        <v>44.4</v>
      </c>
      <c r="Y35" s="345">
        <v>30</v>
      </c>
      <c r="Z35" s="345">
        <f>(H32*100)/F32</f>
        <v>33.07672233820459</v>
      </c>
      <c r="AA35" s="284"/>
      <c r="AE35" s="335" t="s">
        <v>1758</v>
      </c>
    </row>
    <row r="36" spans="1:31" ht="30" hidden="1" x14ac:dyDescent="0.25">
      <c r="A36" s="2">
        <f>A32+1</f>
        <v>15</v>
      </c>
      <c r="B36" s="127">
        <v>2013</v>
      </c>
      <c r="C36" s="127" t="s">
        <v>1351</v>
      </c>
      <c r="D36" s="335" t="s">
        <v>1682</v>
      </c>
      <c r="E36" s="541">
        <v>158300000</v>
      </c>
      <c r="F36" s="541">
        <f>E36+281200000</f>
        <v>439500000</v>
      </c>
      <c r="G36" s="343">
        <v>220950000</v>
      </c>
      <c r="H36" s="541">
        <v>114887500</v>
      </c>
      <c r="I36" s="445">
        <v>62</v>
      </c>
      <c r="J36" s="442">
        <v>62.5</v>
      </c>
      <c r="K36" s="465">
        <v>36</v>
      </c>
      <c r="L36" s="438">
        <f t="shared" si="8"/>
        <v>26.140500568828212</v>
      </c>
      <c r="M36" s="438">
        <f t="shared" si="9"/>
        <v>50.273037542662117</v>
      </c>
      <c r="N36" s="438"/>
      <c r="O36" s="438"/>
      <c r="P36" s="438"/>
      <c r="Q36" s="347"/>
      <c r="R36" s="347"/>
      <c r="S36" s="347"/>
      <c r="T36" s="91"/>
      <c r="U36" s="85"/>
      <c r="W36" s="127">
        <v>62.5</v>
      </c>
      <c r="X36" s="127">
        <v>62.5</v>
      </c>
      <c r="Y36" s="346"/>
      <c r="Z36" s="345">
        <f t="shared" ref="Z36:Z39" si="11">(H36*100)/F36</f>
        <v>26.140500568828212</v>
      </c>
      <c r="AA36" s="284"/>
      <c r="AE36" s="335" t="s">
        <v>1759</v>
      </c>
    </row>
    <row r="37" spans="1:31" ht="30" hidden="1" x14ac:dyDescent="0.25">
      <c r="A37" s="2">
        <f>A31+1</f>
        <v>20</v>
      </c>
      <c r="B37" s="127">
        <v>2013</v>
      </c>
      <c r="C37" s="127" t="s">
        <v>1351</v>
      </c>
      <c r="D37" s="127" t="s">
        <v>1161</v>
      </c>
      <c r="E37" s="541">
        <v>96400000</v>
      </c>
      <c r="F37" s="541">
        <v>96400000</v>
      </c>
      <c r="G37" s="343">
        <v>96400000</v>
      </c>
      <c r="H37" s="541">
        <v>78400000</v>
      </c>
      <c r="I37" s="445">
        <v>100</v>
      </c>
      <c r="J37" s="442">
        <f>(H37*100)/G37</f>
        <v>81.327800829875514</v>
      </c>
      <c r="K37" s="465">
        <v>100</v>
      </c>
      <c r="L37" s="438">
        <f>(H37*100)/F37</f>
        <v>81.327800829875514</v>
      </c>
      <c r="M37" s="438">
        <f>(G37*100)/F37</f>
        <v>100</v>
      </c>
      <c r="N37" s="438"/>
      <c r="O37" s="438"/>
      <c r="P37" s="438"/>
      <c r="Q37" s="347"/>
      <c r="R37" s="347"/>
      <c r="S37" s="347"/>
      <c r="T37" s="91"/>
      <c r="U37" s="85"/>
      <c r="W37" s="127">
        <v>100</v>
      </c>
      <c r="X37" s="345">
        <v>100</v>
      </c>
      <c r="Y37" s="346">
        <v>100</v>
      </c>
      <c r="Z37" s="345">
        <f>(H33*100)/F33</f>
        <v>99.999780281690136</v>
      </c>
      <c r="AA37" s="284"/>
      <c r="AE37" s="335" t="s">
        <v>1760</v>
      </c>
    </row>
    <row r="38" spans="1:31" ht="45" hidden="1" x14ac:dyDescent="0.25">
      <c r="A38" s="2">
        <f>A53+1</f>
        <v>57</v>
      </c>
      <c r="B38" s="249"/>
      <c r="C38" s="249" t="s">
        <v>1869</v>
      </c>
      <c r="D38" s="20" t="s">
        <v>1892</v>
      </c>
      <c r="E38" s="313">
        <v>231589000</v>
      </c>
      <c r="F38" s="313">
        <v>35748000</v>
      </c>
      <c r="G38" s="128">
        <v>0</v>
      </c>
      <c r="H38" s="128">
        <v>0</v>
      </c>
      <c r="I38" s="407">
        <v>0</v>
      </c>
      <c r="J38" s="457" t="e">
        <f>(H38*100)/G38</f>
        <v>#DIV/0!</v>
      </c>
      <c r="K38" s="407">
        <v>0</v>
      </c>
      <c r="L38" s="128">
        <v>0</v>
      </c>
      <c r="M38" s="128">
        <f>(G38*100)/F38</f>
        <v>0</v>
      </c>
      <c r="N38" s="128"/>
      <c r="O38" s="128"/>
      <c r="P38" s="128"/>
      <c r="Q38" s="20"/>
      <c r="R38" s="20"/>
      <c r="S38" s="20"/>
      <c r="T38" s="20"/>
      <c r="U38" s="85"/>
      <c r="W38" s="127"/>
      <c r="X38" s="345"/>
      <c r="Y38" s="346"/>
      <c r="Z38" s="345"/>
      <c r="AA38" s="284"/>
      <c r="AE38" s="335"/>
    </row>
    <row r="39" spans="1:31" ht="45" hidden="1" x14ac:dyDescent="0.25">
      <c r="A39" s="2">
        <f>A34+1</f>
        <v>18</v>
      </c>
      <c r="B39" s="127">
        <v>2013</v>
      </c>
      <c r="C39" s="127" t="s">
        <v>1869</v>
      </c>
      <c r="D39" s="127" t="s">
        <v>1684</v>
      </c>
      <c r="E39" s="541">
        <v>75000000</v>
      </c>
      <c r="F39" s="541">
        <v>75000000</v>
      </c>
      <c r="G39" s="347">
        <v>0</v>
      </c>
      <c r="H39" s="347">
        <v>0</v>
      </c>
      <c r="I39" s="445">
        <v>0</v>
      </c>
      <c r="J39" s="442">
        <v>0</v>
      </c>
      <c r="K39" s="465">
        <v>0</v>
      </c>
      <c r="L39" s="438">
        <f t="shared" si="8"/>
        <v>0</v>
      </c>
      <c r="M39" s="438">
        <f t="shared" si="9"/>
        <v>0</v>
      </c>
      <c r="N39" s="438"/>
      <c r="O39" s="438"/>
      <c r="P39" s="438"/>
      <c r="Q39" s="347"/>
      <c r="R39" s="347"/>
      <c r="S39" s="347"/>
      <c r="T39" s="91"/>
      <c r="U39" s="85"/>
      <c r="W39" s="127">
        <v>0</v>
      </c>
      <c r="X39" s="345">
        <v>0</v>
      </c>
      <c r="Y39" s="127">
        <v>0</v>
      </c>
      <c r="Z39" s="345">
        <f t="shared" si="11"/>
        <v>0</v>
      </c>
      <c r="AE39" s="20" t="s">
        <v>1761</v>
      </c>
    </row>
    <row r="40" spans="1:31" ht="75.75" hidden="1" customHeight="1" x14ac:dyDescent="0.25">
      <c r="A40" s="2">
        <f>A30+1</f>
        <v>23</v>
      </c>
      <c r="B40" s="242" t="s">
        <v>1673</v>
      </c>
      <c r="C40" s="242" t="s">
        <v>1875</v>
      </c>
      <c r="D40" s="242" t="s">
        <v>1891</v>
      </c>
      <c r="E40" s="519">
        <v>167379000</v>
      </c>
      <c r="F40" s="547">
        <v>53094000</v>
      </c>
      <c r="G40" s="547">
        <v>15908721</v>
      </c>
      <c r="H40" s="416">
        <v>15908721</v>
      </c>
      <c r="I40" s="450">
        <v>100</v>
      </c>
      <c r="J40" s="451">
        <f>(H40*100)/G40</f>
        <v>100</v>
      </c>
      <c r="K40" s="468">
        <v>30</v>
      </c>
      <c r="L40" s="469">
        <f t="shared" si="8"/>
        <v>29.963312238671037</v>
      </c>
      <c r="M40" s="438">
        <f t="shared" si="9"/>
        <v>29.963312238671037</v>
      </c>
      <c r="N40" s="438"/>
      <c r="O40" s="438"/>
      <c r="P40" s="438"/>
      <c r="Q40" s="414">
        <v>53094000</v>
      </c>
      <c r="R40" s="414">
        <v>55749000</v>
      </c>
      <c r="S40" s="414">
        <v>58536000</v>
      </c>
      <c r="T40" s="415">
        <f>Q40+R40+S40</f>
        <v>167379000</v>
      </c>
      <c r="U40" s="522"/>
      <c r="V40" s="417"/>
      <c r="W40" s="126"/>
      <c r="X40" s="399" t="e">
        <f>(#REF!*100)/Q40</f>
        <v>#REF!</v>
      </c>
      <c r="Y40" s="126"/>
      <c r="Z40" s="399" t="e">
        <f>(#REF!*100)/G40</f>
        <v>#REF!</v>
      </c>
      <c r="AE40" s="398" t="s">
        <v>1762</v>
      </c>
    </row>
    <row r="41" spans="1:31" ht="75.75" hidden="1" customHeight="1" x14ac:dyDescent="0.25">
      <c r="A41" s="2">
        <f>A20+1</f>
        <v>26</v>
      </c>
      <c r="B41" s="126">
        <v>2013</v>
      </c>
      <c r="C41" s="126" t="s">
        <v>1875</v>
      </c>
      <c r="D41" s="6" t="s">
        <v>1894</v>
      </c>
      <c r="E41" s="545">
        <v>141316000</v>
      </c>
      <c r="F41" s="545">
        <v>141316000</v>
      </c>
      <c r="G41" s="544">
        <v>24072760</v>
      </c>
      <c r="H41" s="321">
        <v>24072760</v>
      </c>
      <c r="I41" s="445">
        <v>100</v>
      </c>
      <c r="J41" s="449">
        <f>(H41*100)/G41</f>
        <v>100</v>
      </c>
      <c r="K41" s="465">
        <v>17</v>
      </c>
      <c r="L41" s="472">
        <f>(H41*100)/F41</f>
        <v>17.034702369158481</v>
      </c>
      <c r="M41" s="438">
        <f>(G41*100)/F41</f>
        <v>17.034702369158481</v>
      </c>
      <c r="N41" s="438"/>
      <c r="O41" s="438"/>
      <c r="P41" s="438"/>
      <c r="Q41" s="350"/>
      <c r="R41" s="350"/>
      <c r="S41" s="350"/>
      <c r="T41" s="387">
        <f>Q41+R41+S41</f>
        <v>0</v>
      </c>
      <c r="U41" s="417"/>
      <c r="V41" s="417"/>
      <c r="W41" s="126"/>
      <c r="X41" s="399"/>
      <c r="Y41" s="126"/>
      <c r="Z41" s="399"/>
      <c r="AE41" s="398"/>
    </row>
    <row r="42" spans="1:31" ht="75.75" hidden="1" customHeight="1" x14ac:dyDescent="0.25">
      <c r="A42" s="2">
        <f>A18+1</f>
        <v>30</v>
      </c>
      <c r="B42" s="50">
        <v>2013</v>
      </c>
      <c r="C42" s="47" t="s">
        <v>1875</v>
      </c>
      <c r="D42" s="6" t="s">
        <v>1651</v>
      </c>
      <c r="E42" s="527">
        <v>126102000</v>
      </c>
      <c r="F42" s="548">
        <v>40000000</v>
      </c>
      <c r="G42" s="314">
        <v>0</v>
      </c>
      <c r="H42" s="527">
        <v>0</v>
      </c>
      <c r="I42" s="443">
        <v>0</v>
      </c>
      <c r="J42" s="449">
        <v>0</v>
      </c>
      <c r="K42" s="438">
        <v>0</v>
      </c>
      <c r="L42" s="472">
        <f>(H42*100)/F42</f>
        <v>0</v>
      </c>
      <c r="M42" s="438">
        <f>(G42*100)/F42</f>
        <v>0</v>
      </c>
      <c r="N42" s="438"/>
      <c r="O42" s="438"/>
      <c r="P42" s="438"/>
      <c r="Q42" s="50"/>
      <c r="R42" s="50"/>
      <c r="S42" s="50"/>
      <c r="T42" s="387">
        <f>Q42+R42+S42</f>
        <v>0</v>
      </c>
      <c r="U42" s="417"/>
      <c r="V42" s="417"/>
      <c r="W42" s="126"/>
      <c r="X42" s="399"/>
      <c r="Y42" s="126"/>
      <c r="Z42" s="399"/>
      <c r="AE42" s="398"/>
    </row>
    <row r="43" spans="1:31" ht="45" hidden="1" x14ac:dyDescent="0.25">
      <c r="A43" s="2">
        <f>A40+1</f>
        <v>24</v>
      </c>
      <c r="B43" s="242" t="s">
        <v>1690</v>
      </c>
      <c r="C43" s="242" t="s">
        <v>1875</v>
      </c>
      <c r="D43" s="242" t="s">
        <v>1668</v>
      </c>
      <c r="E43" s="519">
        <v>74007000</v>
      </c>
      <c r="F43" s="547">
        <v>32824000</v>
      </c>
      <c r="G43" s="519">
        <v>29268000</v>
      </c>
      <c r="H43" s="416">
        <v>29268600</v>
      </c>
      <c r="I43" s="450">
        <v>100</v>
      </c>
      <c r="J43" s="451">
        <f t="shared" ref="J43:J45" si="12">(H43*100)/G43</f>
        <v>100.00205002050021</v>
      </c>
      <c r="K43" s="468">
        <v>89</v>
      </c>
      <c r="L43" s="469">
        <f t="shared" si="8"/>
        <v>89.168291494028765</v>
      </c>
      <c r="M43" s="438">
        <f t="shared" si="9"/>
        <v>89.16646356324641</v>
      </c>
      <c r="N43" s="438"/>
      <c r="O43" s="438"/>
      <c r="P43" s="438"/>
      <c r="Q43" s="414">
        <v>32824000</v>
      </c>
      <c r="R43" s="414">
        <v>41184000</v>
      </c>
      <c r="S43" s="414"/>
      <c r="T43" s="415">
        <f>Q43+R43+S43</f>
        <v>74008000</v>
      </c>
      <c r="U43" s="522"/>
      <c r="V43" s="417"/>
      <c r="W43" s="126"/>
      <c r="X43" s="399">
        <f>(G43*100)/Q43</f>
        <v>89.16646356324641</v>
      </c>
      <c r="Y43" s="126"/>
      <c r="Z43" s="399">
        <f t="shared" ref="Z43:Z45" si="13">(G43*100)/F43</f>
        <v>89.16646356324641</v>
      </c>
      <c r="AE43" s="242" t="s">
        <v>1763</v>
      </c>
    </row>
    <row r="44" spans="1:31" ht="30" hidden="1" x14ac:dyDescent="0.25">
      <c r="A44" s="2">
        <f>A41+1</f>
        <v>27</v>
      </c>
      <c r="B44" s="126">
        <v>2013</v>
      </c>
      <c r="C44" s="126" t="s">
        <v>1874</v>
      </c>
      <c r="D44" s="6" t="s">
        <v>1890</v>
      </c>
      <c r="E44" s="527">
        <v>86800000</v>
      </c>
      <c r="F44" s="527">
        <v>86800000</v>
      </c>
      <c r="G44" s="387">
        <v>86800000</v>
      </c>
      <c r="H44" s="321">
        <v>86800000</v>
      </c>
      <c r="I44" s="445">
        <v>100</v>
      </c>
      <c r="J44" s="449">
        <f t="shared" si="12"/>
        <v>100</v>
      </c>
      <c r="K44" s="465">
        <v>100</v>
      </c>
      <c r="L44" s="473">
        <v>100</v>
      </c>
      <c r="M44" s="438">
        <f t="shared" si="9"/>
        <v>100</v>
      </c>
      <c r="N44" s="438"/>
      <c r="O44" s="438"/>
      <c r="P44" s="438"/>
      <c r="Q44" s="350"/>
      <c r="R44" s="350"/>
      <c r="S44" s="350"/>
      <c r="T44" s="387">
        <f t="shared" ref="T44:T46" si="14">Q44+R44+S44</f>
        <v>0</v>
      </c>
      <c r="U44" s="417"/>
      <c r="V44" s="417"/>
      <c r="W44" s="126"/>
      <c r="X44" s="399" t="e">
        <f>(G44*100)/Q44</f>
        <v>#DIV/0!</v>
      </c>
      <c r="Y44" s="126"/>
      <c r="Z44" s="399">
        <f t="shared" si="13"/>
        <v>100</v>
      </c>
      <c r="AE44" s="6" t="s">
        <v>1764</v>
      </c>
    </row>
    <row r="45" spans="1:31" ht="30" hidden="1" x14ac:dyDescent="0.25">
      <c r="A45" s="2">
        <f t="shared" si="5"/>
        <v>28</v>
      </c>
      <c r="B45" s="126">
        <v>2013</v>
      </c>
      <c r="C45" s="126" t="s">
        <v>1874</v>
      </c>
      <c r="D45" s="6" t="s">
        <v>1627</v>
      </c>
      <c r="E45" s="527">
        <v>18000000</v>
      </c>
      <c r="F45" s="543">
        <v>18000000</v>
      </c>
      <c r="G45" s="387">
        <v>18000000</v>
      </c>
      <c r="H45" s="321">
        <v>15252751</v>
      </c>
      <c r="I45" s="445">
        <v>100</v>
      </c>
      <c r="J45" s="449">
        <f t="shared" si="12"/>
        <v>84.737505555555558</v>
      </c>
      <c r="K45" s="465">
        <v>100</v>
      </c>
      <c r="L45" s="472">
        <f t="shared" si="8"/>
        <v>84.737505555555558</v>
      </c>
      <c r="M45" s="438">
        <f t="shared" si="9"/>
        <v>100</v>
      </c>
      <c r="N45" s="438"/>
      <c r="O45" s="438"/>
      <c r="P45" s="438"/>
      <c r="Q45" s="350"/>
      <c r="R45" s="350"/>
      <c r="S45" s="350"/>
      <c r="T45" s="387">
        <f t="shared" si="14"/>
        <v>0</v>
      </c>
      <c r="U45" s="417"/>
      <c r="V45" s="417"/>
      <c r="W45" s="126"/>
      <c r="X45" s="399" t="e">
        <f>(G45*100)/Q45</f>
        <v>#DIV/0!</v>
      </c>
      <c r="Y45" s="126"/>
      <c r="Z45" s="399">
        <f t="shared" si="13"/>
        <v>100</v>
      </c>
      <c r="AE45" s="6" t="s">
        <v>1765</v>
      </c>
    </row>
    <row r="46" spans="1:31" ht="30" hidden="1" x14ac:dyDescent="0.25">
      <c r="A46" s="2">
        <f>A42+1</f>
        <v>31</v>
      </c>
      <c r="B46" s="50">
        <v>2013</v>
      </c>
      <c r="C46" s="47" t="s">
        <v>1874</v>
      </c>
      <c r="D46" s="6" t="s">
        <v>1655</v>
      </c>
      <c r="E46" s="544">
        <v>16845000</v>
      </c>
      <c r="F46" s="544">
        <v>16845000</v>
      </c>
      <c r="G46" s="440">
        <v>0</v>
      </c>
      <c r="H46" s="545">
        <v>0</v>
      </c>
      <c r="I46" s="443">
        <v>0</v>
      </c>
      <c r="J46" s="449">
        <v>0</v>
      </c>
      <c r="K46" s="438">
        <v>0</v>
      </c>
      <c r="L46" s="472">
        <f t="shared" si="8"/>
        <v>0</v>
      </c>
      <c r="M46" s="438">
        <f t="shared" si="9"/>
        <v>0</v>
      </c>
      <c r="N46" s="438"/>
      <c r="O46" s="438"/>
      <c r="P46" s="438"/>
      <c r="Q46" s="50"/>
      <c r="R46" s="50"/>
      <c r="S46" s="50"/>
      <c r="T46" s="387">
        <f t="shared" si="14"/>
        <v>0</v>
      </c>
      <c r="U46" s="417"/>
      <c r="V46" s="417"/>
      <c r="W46" s="50"/>
      <c r="X46" s="50"/>
      <c r="Y46" s="50"/>
      <c r="Z46" s="50"/>
      <c r="AE46" s="6" t="s">
        <v>1766</v>
      </c>
    </row>
    <row r="47" spans="1:31" ht="45.75" hidden="1" customHeight="1" x14ac:dyDescent="0.25">
      <c r="A47" s="2">
        <f>A51+1</f>
        <v>39</v>
      </c>
      <c r="B47" s="50">
        <v>2013</v>
      </c>
      <c r="C47" s="6" t="s">
        <v>1881</v>
      </c>
      <c r="D47" s="334" t="s">
        <v>1593</v>
      </c>
      <c r="E47" s="314">
        <v>587289000</v>
      </c>
      <c r="F47" s="314">
        <v>587288988</v>
      </c>
      <c r="G47" s="314">
        <v>587288988</v>
      </c>
      <c r="H47" s="314">
        <v>234915595.20000002</v>
      </c>
      <c r="I47" s="453">
        <v>80</v>
      </c>
      <c r="J47" s="454">
        <f>(H47*100)/G47</f>
        <v>40</v>
      </c>
      <c r="K47" s="472">
        <v>80</v>
      </c>
      <c r="L47" s="472">
        <f>(H47*100)/F47</f>
        <v>40</v>
      </c>
      <c r="M47" s="438">
        <f t="shared" ref="M47:M52" si="15">(G47*100)/F47</f>
        <v>100</v>
      </c>
      <c r="V47" s="419"/>
      <c r="W47" s="402"/>
      <c r="X47" s="402"/>
      <c r="Y47" s="402"/>
      <c r="Z47" s="402"/>
      <c r="AE47" s="242"/>
    </row>
    <row r="48" spans="1:31" ht="46.5" hidden="1" customHeight="1" x14ac:dyDescent="0.25">
      <c r="A48" s="2">
        <f>A50+1</f>
        <v>36</v>
      </c>
      <c r="B48" s="50">
        <v>2013</v>
      </c>
      <c r="C48" s="6" t="s">
        <v>1881</v>
      </c>
      <c r="D48" s="334" t="s">
        <v>1475</v>
      </c>
      <c r="E48" s="314">
        <v>211673000</v>
      </c>
      <c r="F48" s="314">
        <v>211673000</v>
      </c>
      <c r="G48" s="314">
        <v>0</v>
      </c>
      <c r="H48" s="314">
        <v>0</v>
      </c>
      <c r="I48" s="453">
        <v>0</v>
      </c>
      <c r="J48" s="444">
        <v>0</v>
      </c>
      <c r="K48" s="438">
        <v>0</v>
      </c>
      <c r="L48" s="472">
        <v>0</v>
      </c>
      <c r="M48" s="438">
        <f t="shared" si="15"/>
        <v>0</v>
      </c>
      <c r="V48" s="419"/>
      <c r="W48" s="402"/>
      <c r="X48" s="402"/>
      <c r="Y48" s="402"/>
      <c r="Z48" s="402"/>
      <c r="AE48" s="242"/>
    </row>
    <row r="49" spans="1:31" ht="38.25" hidden="1" customHeight="1" x14ac:dyDescent="0.25">
      <c r="A49" s="2">
        <f>A48+1</f>
        <v>37</v>
      </c>
      <c r="B49" s="50">
        <v>2013</v>
      </c>
      <c r="C49" s="6" t="s">
        <v>1881</v>
      </c>
      <c r="D49" s="334" t="s">
        <v>1479</v>
      </c>
      <c r="E49" s="314">
        <v>208000000</v>
      </c>
      <c r="F49" s="314">
        <v>47551550</v>
      </c>
      <c r="G49" s="314">
        <v>47551550</v>
      </c>
      <c r="H49" s="527">
        <v>47551550</v>
      </c>
      <c r="I49" s="453">
        <v>100</v>
      </c>
      <c r="J49" s="444">
        <f t="shared" ref="J49:J54" si="16">(H49*100)/G49</f>
        <v>100</v>
      </c>
      <c r="K49" s="438">
        <v>100</v>
      </c>
      <c r="L49" s="472">
        <v>100</v>
      </c>
      <c r="M49" s="438">
        <f t="shared" si="15"/>
        <v>100</v>
      </c>
      <c r="V49" s="419"/>
      <c r="W49" s="402"/>
      <c r="X49" s="402"/>
      <c r="Y49" s="402"/>
      <c r="Z49" s="402"/>
      <c r="AE49" s="242"/>
    </row>
    <row r="50" spans="1:31" ht="30" hidden="1" x14ac:dyDescent="0.25">
      <c r="A50" s="2">
        <f>A52+1</f>
        <v>35</v>
      </c>
      <c r="B50" s="50">
        <v>2013</v>
      </c>
      <c r="C50" s="6" t="s">
        <v>1881</v>
      </c>
      <c r="D50" s="91" t="s">
        <v>1429</v>
      </c>
      <c r="E50" s="314">
        <v>183439000</v>
      </c>
      <c r="F50" s="314">
        <v>30453000</v>
      </c>
      <c r="G50" s="314">
        <v>30453000</v>
      </c>
      <c r="H50" s="314">
        <v>30453000</v>
      </c>
      <c r="I50" s="453">
        <v>100</v>
      </c>
      <c r="J50" s="444">
        <f t="shared" si="16"/>
        <v>100</v>
      </c>
      <c r="K50" s="438">
        <v>100</v>
      </c>
      <c r="L50" s="472">
        <f>(H50*100)/F50</f>
        <v>100</v>
      </c>
      <c r="M50" s="438">
        <f t="shared" si="15"/>
        <v>100</v>
      </c>
      <c r="N50" s="438"/>
      <c r="O50" s="438"/>
      <c r="P50" s="438"/>
      <c r="Q50" s="50"/>
      <c r="R50" s="50"/>
      <c r="S50" s="50"/>
      <c r="T50" s="50"/>
      <c r="U50" s="419"/>
      <c r="V50" s="419"/>
      <c r="W50" s="402"/>
      <c r="X50" s="402"/>
      <c r="Y50" s="402"/>
      <c r="Z50" s="402"/>
      <c r="AE50" s="6" t="s">
        <v>1767</v>
      </c>
    </row>
    <row r="51" spans="1:31" ht="45" hidden="1" x14ac:dyDescent="0.25">
      <c r="A51" s="2">
        <f>A49+1</f>
        <v>38</v>
      </c>
      <c r="B51" s="50">
        <v>2013</v>
      </c>
      <c r="C51" s="6" t="s">
        <v>1881</v>
      </c>
      <c r="D51" s="334" t="s">
        <v>1535</v>
      </c>
      <c r="E51" s="314">
        <v>141618000</v>
      </c>
      <c r="F51" s="314">
        <v>92537767</v>
      </c>
      <c r="G51" s="314">
        <v>92537767</v>
      </c>
      <c r="H51" s="314">
        <v>92537767</v>
      </c>
      <c r="I51" s="453">
        <v>100</v>
      </c>
      <c r="J51" s="444">
        <f t="shared" si="16"/>
        <v>100</v>
      </c>
      <c r="K51" s="438">
        <v>100</v>
      </c>
      <c r="L51" s="472">
        <f>(H51*100)/F51</f>
        <v>100</v>
      </c>
      <c r="M51" s="438">
        <f t="shared" si="15"/>
        <v>100</v>
      </c>
      <c r="N51" s="438"/>
      <c r="O51" s="438"/>
      <c r="P51" s="438"/>
      <c r="Q51" s="91"/>
      <c r="R51" s="91"/>
      <c r="S51" s="91"/>
      <c r="T51" s="91"/>
      <c r="U51" s="420"/>
      <c r="V51" s="420"/>
      <c r="W51" s="91"/>
      <c r="X51" s="91"/>
      <c r="Y51" s="91"/>
      <c r="Z51" s="91"/>
      <c r="AE51" s="403" t="s">
        <v>1768</v>
      </c>
    </row>
    <row r="52" spans="1:31" ht="45" hidden="1" x14ac:dyDescent="0.25">
      <c r="A52" s="2">
        <f>A21+1</f>
        <v>34</v>
      </c>
      <c r="B52" s="50">
        <v>2013</v>
      </c>
      <c r="C52" s="538" t="s">
        <v>1881</v>
      </c>
      <c r="D52" s="403" t="s">
        <v>1409</v>
      </c>
      <c r="E52" s="552">
        <v>69400000</v>
      </c>
      <c r="F52" s="552">
        <v>69400000</v>
      </c>
      <c r="G52" s="552">
        <v>69400000</v>
      </c>
      <c r="H52" s="552">
        <v>69400000</v>
      </c>
      <c r="I52" s="453">
        <v>100</v>
      </c>
      <c r="J52" s="454">
        <f t="shared" si="16"/>
        <v>100</v>
      </c>
      <c r="K52" s="472">
        <v>100</v>
      </c>
      <c r="L52" s="472">
        <f>(H52*100)/F52</f>
        <v>100</v>
      </c>
      <c r="M52" s="438">
        <f t="shared" si="15"/>
        <v>100</v>
      </c>
      <c r="N52" s="438"/>
      <c r="O52" s="438"/>
      <c r="P52" s="438"/>
      <c r="Q52" s="91"/>
      <c r="R52" s="91"/>
      <c r="S52" s="91"/>
      <c r="T52" s="91"/>
      <c r="U52" s="420"/>
      <c r="V52" s="420"/>
      <c r="W52" s="91"/>
      <c r="X52" s="91"/>
      <c r="Y52" s="91"/>
      <c r="Z52" s="91"/>
      <c r="AE52" s="91" t="s">
        <v>1769</v>
      </c>
    </row>
    <row r="53" spans="1:31" ht="45" hidden="1" x14ac:dyDescent="0.25">
      <c r="A53" s="2">
        <f>A10+1</f>
        <v>56</v>
      </c>
      <c r="B53" s="279">
        <v>2013</v>
      </c>
      <c r="C53" s="279" t="s">
        <v>1880</v>
      </c>
      <c r="D53" s="98" t="s">
        <v>1697</v>
      </c>
      <c r="E53" s="313">
        <v>140800000</v>
      </c>
      <c r="F53" s="313">
        <v>140800000</v>
      </c>
      <c r="G53" s="313">
        <v>49800000</v>
      </c>
      <c r="H53" s="313">
        <v>49800000</v>
      </c>
      <c r="I53" s="407">
        <v>100</v>
      </c>
      <c r="J53" s="457">
        <f t="shared" si="16"/>
        <v>100</v>
      </c>
      <c r="K53" s="407">
        <v>35</v>
      </c>
      <c r="L53" s="128">
        <f>(H53*100)/F53</f>
        <v>35.36931818181818</v>
      </c>
      <c r="M53" s="128">
        <f t="shared" ref="M53:M59" si="17">(G53*100)/F53</f>
        <v>35.36931818181818</v>
      </c>
      <c r="Q53" s="129"/>
      <c r="R53" s="129"/>
      <c r="S53" s="129"/>
      <c r="T53" s="129"/>
      <c r="U53" s="421"/>
      <c r="V53" s="421"/>
      <c r="W53" s="129"/>
      <c r="X53" s="129"/>
      <c r="Y53" s="129"/>
      <c r="Z53" s="129"/>
      <c r="AE53" s="405" t="s">
        <v>1770</v>
      </c>
    </row>
    <row r="54" spans="1:31" ht="45" x14ac:dyDescent="0.25">
      <c r="A54" s="2">
        <f>A56+1</f>
        <v>42</v>
      </c>
      <c r="B54" s="20">
        <v>2013</v>
      </c>
      <c r="C54" s="20" t="s">
        <v>1868</v>
      </c>
      <c r="D54" s="20" t="s">
        <v>78</v>
      </c>
      <c r="E54" s="313">
        <v>5288946000</v>
      </c>
      <c r="F54" s="313">
        <v>5288946000</v>
      </c>
      <c r="G54" s="313">
        <v>3984202638</v>
      </c>
      <c r="H54" s="313">
        <v>2771352197.2200003</v>
      </c>
      <c r="I54" s="407">
        <v>87.7</v>
      </c>
      <c r="J54" s="406">
        <f t="shared" si="16"/>
        <v>69.558515191666316</v>
      </c>
      <c r="K54" s="407">
        <v>70.5</v>
      </c>
      <c r="L54" s="128">
        <f>(H54*100)/F54</f>
        <v>52.398950513391512</v>
      </c>
      <c r="M54" s="128">
        <f t="shared" si="17"/>
        <v>75.330749037709964</v>
      </c>
      <c r="Q54" s="129"/>
      <c r="R54" s="129"/>
      <c r="S54" s="129"/>
      <c r="T54" s="129"/>
      <c r="U54" s="562"/>
      <c r="V54" s="562"/>
      <c r="W54" s="562"/>
      <c r="X54" s="562"/>
      <c r="Y54" s="562"/>
      <c r="Z54" s="562"/>
      <c r="AE54" s="563"/>
    </row>
    <row r="55" spans="1:31" ht="45" x14ac:dyDescent="0.25">
      <c r="A55" s="2">
        <f>A62+1</f>
        <v>49</v>
      </c>
      <c r="B55" s="20">
        <v>2013</v>
      </c>
      <c r="C55" s="401" t="s">
        <v>1868</v>
      </c>
      <c r="D55" s="401" t="s">
        <v>734</v>
      </c>
      <c r="E55" s="313">
        <v>2298110000</v>
      </c>
      <c r="F55" s="313">
        <v>2298110000</v>
      </c>
      <c r="G55" s="313">
        <v>0</v>
      </c>
      <c r="H55" s="313" t="s">
        <v>1693</v>
      </c>
      <c r="I55" s="315">
        <v>0</v>
      </c>
      <c r="J55" s="457">
        <v>0</v>
      </c>
      <c r="K55" s="315">
        <v>0</v>
      </c>
      <c r="L55" s="315">
        <v>0</v>
      </c>
      <c r="M55" s="128">
        <f t="shared" si="17"/>
        <v>0</v>
      </c>
      <c r="Q55" s="129"/>
      <c r="R55" s="129"/>
      <c r="S55" s="129"/>
      <c r="T55" s="129"/>
      <c r="U55" s="562"/>
      <c r="V55" s="562"/>
      <c r="W55" s="562"/>
      <c r="X55" s="562"/>
      <c r="Y55" s="562"/>
      <c r="Z55" s="562"/>
      <c r="AE55" s="563"/>
    </row>
    <row r="56" spans="1:31" ht="45" x14ac:dyDescent="0.25">
      <c r="A56" s="2">
        <f>A11+1</f>
        <v>41</v>
      </c>
      <c r="B56" s="20">
        <v>2013</v>
      </c>
      <c r="C56" s="20" t="s">
        <v>1868</v>
      </c>
      <c r="D56" s="20" t="s">
        <v>62</v>
      </c>
      <c r="E56" s="313">
        <v>1000000000</v>
      </c>
      <c r="F56" s="313">
        <v>1000000000</v>
      </c>
      <c r="G56" s="313">
        <v>987770718</v>
      </c>
      <c r="H56" s="313">
        <v>642815379.79999995</v>
      </c>
      <c r="I56" s="407">
        <v>88</v>
      </c>
      <c r="J56" s="406">
        <f t="shared" ref="J56:J61" si="18">(H56*100)/G56</f>
        <v>65.077387706080984</v>
      </c>
      <c r="K56" s="407">
        <v>88</v>
      </c>
      <c r="L56" s="128">
        <f>(H56*100)/F56</f>
        <v>64.281537979999996</v>
      </c>
      <c r="M56" s="128">
        <f t="shared" si="17"/>
        <v>98.777071800000002</v>
      </c>
      <c r="N56" s="128"/>
      <c r="O56" s="128"/>
      <c r="P56" s="128"/>
      <c r="Q56" s="313"/>
      <c r="R56" s="313"/>
      <c r="S56" s="313"/>
      <c r="T56" s="313"/>
      <c r="U56" s="523"/>
      <c r="V56" s="343"/>
    </row>
    <row r="57" spans="1:31" ht="45" x14ac:dyDescent="0.25">
      <c r="A57" s="2">
        <f>A55+1</f>
        <v>50</v>
      </c>
      <c r="B57" s="20">
        <v>2013</v>
      </c>
      <c r="C57" s="401" t="s">
        <v>1868</v>
      </c>
      <c r="D57" s="401" t="s">
        <v>443</v>
      </c>
      <c r="E57" s="313">
        <v>682083000</v>
      </c>
      <c r="F57" s="313">
        <v>682083000</v>
      </c>
      <c r="G57" s="313">
        <v>0</v>
      </c>
      <c r="H57" s="313" t="s">
        <v>1693</v>
      </c>
      <c r="I57" s="315">
        <v>0</v>
      </c>
      <c r="J57" s="457">
        <v>0</v>
      </c>
      <c r="K57" s="315">
        <v>0</v>
      </c>
      <c r="L57" s="315">
        <v>0</v>
      </c>
      <c r="M57" s="128">
        <f t="shared" si="17"/>
        <v>0</v>
      </c>
      <c r="N57" s="128"/>
      <c r="O57" s="128"/>
      <c r="P57" s="128"/>
      <c r="Q57" s="313"/>
      <c r="R57" s="313"/>
      <c r="S57" s="313"/>
      <c r="T57" s="313"/>
      <c r="U57" s="523"/>
      <c r="V57" s="343"/>
    </row>
    <row r="58" spans="1:31" ht="45" x14ac:dyDescent="0.25">
      <c r="A58" s="2">
        <f>A61+1</f>
        <v>47</v>
      </c>
      <c r="B58" s="20">
        <v>2013</v>
      </c>
      <c r="C58" s="401" t="s">
        <v>1868</v>
      </c>
      <c r="D58" s="401" t="s">
        <v>274</v>
      </c>
      <c r="E58" s="313">
        <v>324897000</v>
      </c>
      <c r="F58" s="313">
        <v>324897000</v>
      </c>
      <c r="G58" s="313">
        <v>0</v>
      </c>
      <c r="H58" s="313" t="s">
        <v>1693</v>
      </c>
      <c r="I58" s="315">
        <v>0</v>
      </c>
      <c r="J58" s="457">
        <v>0</v>
      </c>
      <c r="K58" s="315">
        <v>0</v>
      </c>
      <c r="L58" s="315">
        <v>0</v>
      </c>
      <c r="M58" s="128">
        <f t="shared" si="17"/>
        <v>0</v>
      </c>
      <c r="N58" s="128"/>
      <c r="O58" s="128"/>
      <c r="P58" s="128"/>
      <c r="Q58" s="313"/>
      <c r="R58" s="313"/>
      <c r="S58" s="313"/>
      <c r="T58" s="313"/>
      <c r="U58" s="523"/>
      <c r="V58" s="343"/>
    </row>
    <row r="59" spans="1:31" ht="45" x14ac:dyDescent="0.25">
      <c r="A59" s="2">
        <f>A54+1</f>
        <v>43</v>
      </c>
      <c r="B59" s="20">
        <v>2013</v>
      </c>
      <c r="C59" s="20" t="s">
        <v>1868</v>
      </c>
      <c r="D59" s="20" t="s">
        <v>141</v>
      </c>
      <c r="E59" s="313">
        <v>145611000</v>
      </c>
      <c r="F59" s="313">
        <v>145611000</v>
      </c>
      <c r="G59" s="554">
        <v>135833216</v>
      </c>
      <c r="H59" s="313">
        <v>54333286.399999999</v>
      </c>
      <c r="I59" s="407">
        <v>100</v>
      </c>
      <c r="J59" s="406">
        <f t="shared" si="18"/>
        <v>40</v>
      </c>
      <c r="K59" s="407">
        <v>93</v>
      </c>
      <c r="L59" s="128">
        <f t="shared" ref="L59:L61" si="19">(H59*100)/F59</f>
        <v>37.313998530330814</v>
      </c>
      <c r="M59" s="128">
        <f t="shared" si="17"/>
        <v>93.284996325827038</v>
      </c>
      <c r="N59" s="128"/>
      <c r="O59" s="128"/>
      <c r="P59" s="128"/>
      <c r="Q59" s="313"/>
      <c r="R59" s="313"/>
      <c r="S59" s="313"/>
      <c r="T59" s="313"/>
      <c r="U59" s="523"/>
      <c r="V59" s="343"/>
    </row>
    <row r="60" spans="1:31" ht="30" hidden="1" x14ac:dyDescent="0.25">
      <c r="A60" s="2">
        <f t="shared" si="5"/>
        <v>44</v>
      </c>
      <c r="B60" s="20">
        <v>2014</v>
      </c>
      <c r="C60" s="20" t="s">
        <v>1872</v>
      </c>
      <c r="D60" s="20" t="s">
        <v>146</v>
      </c>
      <c r="E60" s="128">
        <v>424731000</v>
      </c>
      <c r="F60" s="128">
        <v>424731000</v>
      </c>
      <c r="G60" s="128">
        <v>421898722</v>
      </c>
      <c r="H60" s="423">
        <v>166444103</v>
      </c>
      <c r="I60" s="407">
        <v>30</v>
      </c>
      <c r="J60" s="406">
        <f t="shared" si="18"/>
        <v>39.451198669428535</v>
      </c>
      <c r="K60" s="407">
        <v>30</v>
      </c>
      <c r="L60" s="128">
        <f t="shared" si="19"/>
        <v>39.188122129065221</v>
      </c>
      <c r="M60" s="128">
        <f t="shared" ref="M60:M62" si="20">(G60*100)/F60</f>
        <v>99.333159576296524</v>
      </c>
      <c r="N60" s="128"/>
      <c r="O60" s="128"/>
      <c r="P60" s="128"/>
      <c r="Q60" s="313"/>
      <c r="R60" s="313"/>
      <c r="S60" s="313"/>
      <c r="T60" s="313"/>
      <c r="U60" s="523"/>
      <c r="V60" s="343"/>
    </row>
    <row r="61" spans="1:31" ht="45" x14ac:dyDescent="0.25">
      <c r="A61" s="2">
        <f>A19+1</f>
        <v>46</v>
      </c>
      <c r="B61" s="20">
        <v>2013</v>
      </c>
      <c r="C61" s="20" t="s">
        <v>1868</v>
      </c>
      <c r="D61" s="20" t="s">
        <v>166</v>
      </c>
      <c r="E61" s="313">
        <v>128774000</v>
      </c>
      <c r="F61" s="313">
        <v>128774000</v>
      </c>
      <c r="G61" s="313">
        <v>109091300</v>
      </c>
      <c r="H61" s="313">
        <v>45261516</v>
      </c>
      <c r="I61" s="407">
        <v>80</v>
      </c>
      <c r="J61" s="406">
        <f t="shared" si="18"/>
        <v>41.489574329025324</v>
      </c>
      <c r="K61" s="407">
        <v>74</v>
      </c>
      <c r="L61" s="128">
        <f t="shared" si="19"/>
        <v>35.148023669374254</v>
      </c>
      <c r="M61" s="128">
        <f t="shared" si="20"/>
        <v>84.715315203379561</v>
      </c>
      <c r="N61" s="128"/>
      <c r="O61" s="128"/>
      <c r="P61" s="128"/>
      <c r="Q61" s="313"/>
      <c r="R61" s="313"/>
      <c r="S61" s="313"/>
      <c r="T61" s="313"/>
      <c r="U61" s="523"/>
      <c r="V61" s="343"/>
    </row>
    <row r="62" spans="1:31" ht="30" hidden="1" x14ac:dyDescent="0.25">
      <c r="A62" s="2">
        <f>A58+1</f>
        <v>48</v>
      </c>
      <c r="B62" s="20">
        <v>2013</v>
      </c>
      <c r="C62" s="401" t="s">
        <v>1879</v>
      </c>
      <c r="D62" s="401" t="s">
        <v>275</v>
      </c>
      <c r="E62" s="128">
        <v>135480000</v>
      </c>
      <c r="F62" s="128">
        <v>135480000</v>
      </c>
      <c r="G62" s="128">
        <v>0</v>
      </c>
      <c r="H62" s="128">
        <v>0</v>
      </c>
      <c r="I62" s="315">
        <v>0</v>
      </c>
      <c r="J62" s="457">
        <v>0</v>
      </c>
      <c r="K62" s="315">
        <v>0</v>
      </c>
      <c r="L62" s="315">
        <v>0</v>
      </c>
      <c r="M62" s="128">
        <f t="shared" si="20"/>
        <v>0</v>
      </c>
      <c r="N62" s="128"/>
      <c r="O62" s="128"/>
      <c r="P62" s="128"/>
      <c r="Q62" s="313"/>
      <c r="R62" s="313"/>
      <c r="S62" s="313"/>
      <c r="T62" s="313"/>
      <c r="U62" s="523"/>
      <c r="V62" s="343"/>
    </row>
    <row r="63" spans="1:31" ht="60" hidden="1" x14ac:dyDescent="0.25">
      <c r="A63" s="2">
        <f>A8+1</f>
        <v>53</v>
      </c>
      <c r="B63" s="20">
        <v>2013</v>
      </c>
      <c r="C63" s="20" t="s">
        <v>1880</v>
      </c>
      <c r="D63" s="6" t="s">
        <v>420</v>
      </c>
      <c r="E63" s="313">
        <v>49355000</v>
      </c>
      <c r="F63" s="313">
        <v>49355000</v>
      </c>
      <c r="G63" s="313">
        <v>47647788</v>
      </c>
      <c r="H63" s="313">
        <v>47647788</v>
      </c>
      <c r="I63" s="407">
        <v>100</v>
      </c>
      <c r="J63" s="406">
        <f>(H63*100)/G63</f>
        <v>100</v>
      </c>
      <c r="K63" s="407">
        <v>94</v>
      </c>
      <c r="L63" s="128">
        <f>(H63*100)/F63</f>
        <v>96.540954310606821</v>
      </c>
      <c r="M63" s="128">
        <f>(G63*100)/F63</f>
        <v>96.540954310606821</v>
      </c>
      <c r="U63" s="343"/>
    </row>
    <row r="64" spans="1:31" hidden="1" x14ac:dyDescent="0.25">
      <c r="U64" s="523"/>
      <c r="V64" s="343"/>
    </row>
    <row r="65" spans="4:22" hidden="1" x14ac:dyDescent="0.25">
      <c r="N65" s="128"/>
      <c r="O65" s="128"/>
      <c r="P65" s="128"/>
      <c r="Q65" s="313"/>
      <c r="R65" s="313"/>
      <c r="S65" s="313"/>
      <c r="T65" s="313"/>
      <c r="U65" s="523"/>
      <c r="V65" s="343"/>
    </row>
    <row r="66" spans="4:22" ht="27.75" hidden="1" customHeight="1" x14ac:dyDescent="0.25">
      <c r="N66" s="128"/>
      <c r="O66" s="128"/>
      <c r="P66" s="128"/>
      <c r="Q66" s="313"/>
      <c r="R66" s="313"/>
      <c r="S66" s="313"/>
      <c r="T66" s="313"/>
      <c r="U66" s="523"/>
      <c r="V66" s="343"/>
    </row>
    <row r="67" spans="4:22" hidden="1" x14ac:dyDescent="0.25">
      <c r="N67" s="128"/>
      <c r="O67" s="128"/>
      <c r="P67" s="128"/>
      <c r="Q67" s="313"/>
      <c r="R67" s="313"/>
      <c r="S67" s="313"/>
      <c r="T67" s="313"/>
      <c r="U67" s="523"/>
      <c r="V67" s="343"/>
    </row>
    <row r="68" spans="4:22" hidden="1" x14ac:dyDescent="0.25">
      <c r="N68" s="128"/>
      <c r="O68" s="128"/>
      <c r="P68" s="128"/>
      <c r="Q68" s="20"/>
      <c r="R68" s="20"/>
      <c r="S68" s="20"/>
      <c r="T68" s="20"/>
      <c r="U68" s="524"/>
    </row>
    <row r="69" spans="4:22" hidden="1" x14ac:dyDescent="0.25">
      <c r="U69" s="524"/>
    </row>
    <row r="70" spans="4:22" hidden="1" x14ac:dyDescent="0.25"/>
    <row r="71" spans="4:22" hidden="1" x14ac:dyDescent="0.25"/>
    <row r="72" spans="4:22" hidden="1" x14ac:dyDescent="0.25">
      <c r="N72" s="128"/>
      <c r="O72" s="128"/>
      <c r="P72" s="128"/>
      <c r="Q72" s="20"/>
      <c r="R72" s="20"/>
      <c r="S72" s="20"/>
      <c r="T72" s="20"/>
      <c r="U72" s="524"/>
    </row>
    <row r="73" spans="4:22" x14ac:dyDescent="0.25">
      <c r="E73" s="542">
        <f>SUM(,E4:E72)</f>
        <v>57867002122</v>
      </c>
      <c r="F73" s="542">
        <f t="shared" ref="F73:H73" si="21">SUM(,F4:F72)</f>
        <v>43739273476.410004</v>
      </c>
      <c r="G73" s="542">
        <f t="shared" si="21"/>
        <v>19675134644.450001</v>
      </c>
      <c r="H73" s="542">
        <f t="shared" si="21"/>
        <v>13451791655.286001</v>
      </c>
      <c r="I73" s="474">
        <f>SUM(I56:I72)/21</f>
        <v>18.952380952380953</v>
      </c>
      <c r="J73" s="474">
        <f>SUM(J56:J72)/21</f>
        <v>13.619912414501657</v>
      </c>
      <c r="K73" s="474">
        <f>SUM(K56:K72)/21</f>
        <v>18.047619047619047</v>
      </c>
      <c r="L73" s="474">
        <f>SUM(L56:L72)/21</f>
        <v>12.974887458065577</v>
      </c>
      <c r="M73" s="481">
        <f>SUM(M56:M72)/21</f>
        <v>22.507214153148094</v>
      </c>
      <c r="N73" s="481"/>
      <c r="O73" s="481"/>
      <c r="P73" s="481"/>
    </row>
    <row r="74" spans="4:22" x14ac:dyDescent="0.25">
      <c r="F74" s="343"/>
      <c r="I74" s="395"/>
      <c r="J74" s="396"/>
      <c r="K74" s="395"/>
      <c r="L74" s="395"/>
      <c r="M74" s="395"/>
      <c r="N74" s="395"/>
      <c r="O74" s="395"/>
      <c r="P74" s="395"/>
    </row>
    <row r="75" spans="4:22" x14ac:dyDescent="0.25">
      <c r="F75" s="343">
        <f>F12+F27+F28+F38+F39+F42+F46+F48+F55+F57+F58+F62</f>
        <v>4457461000</v>
      </c>
      <c r="I75" s="395"/>
      <c r="J75" s="396"/>
      <c r="K75" s="395"/>
      <c r="L75" s="395"/>
      <c r="M75" s="395"/>
      <c r="N75" s="395"/>
      <c r="O75" s="395"/>
      <c r="P75" s="395"/>
    </row>
    <row r="76" spans="4:22" x14ac:dyDescent="0.25">
      <c r="I76" s="395"/>
      <c r="J76" s="396"/>
      <c r="K76" s="395"/>
      <c r="L76" s="395"/>
      <c r="M76" s="395"/>
      <c r="N76" s="395"/>
      <c r="O76" s="395"/>
      <c r="P76" s="395"/>
    </row>
    <row r="77" spans="4:22" x14ac:dyDescent="0.25">
      <c r="D77" t="s">
        <v>1867</v>
      </c>
      <c r="E77" t="s">
        <v>1702</v>
      </c>
      <c r="F77" s="91" t="s">
        <v>1858</v>
      </c>
      <c r="G77" s="322" t="s">
        <v>1883</v>
      </c>
      <c r="H77" s="539" t="s">
        <v>1859</v>
      </c>
      <c r="J77" s="395" t="s">
        <v>1703</v>
      </c>
      <c r="K77" s="395"/>
      <c r="L77" s="395"/>
      <c r="M77" s="395"/>
      <c r="N77" s="395"/>
      <c r="O77" s="395"/>
      <c r="P77" s="395"/>
    </row>
    <row r="78" spans="4:22" x14ac:dyDescent="0.25">
      <c r="D78" t="s">
        <v>1869</v>
      </c>
      <c r="E78" s="287">
        <v>306589000</v>
      </c>
      <c r="F78" s="343">
        <v>110748000</v>
      </c>
      <c r="G78" s="287">
        <v>0</v>
      </c>
      <c r="H78" s="343">
        <v>0</v>
      </c>
      <c r="I78" s="566">
        <f>F78/$F$90</f>
        <v>2.5320036479282164E-3</v>
      </c>
      <c r="J78" s="567">
        <f>H78/$H$90</f>
        <v>0</v>
      </c>
      <c r="K78" s="395"/>
      <c r="L78" s="395"/>
      <c r="M78" s="395"/>
      <c r="N78" s="395"/>
      <c r="O78" s="395"/>
      <c r="P78" s="395"/>
    </row>
    <row r="79" spans="4:22" x14ac:dyDescent="0.25">
      <c r="D79" s="558" t="s">
        <v>1877</v>
      </c>
      <c r="E79" s="559">
        <v>14992507950</v>
      </c>
      <c r="F79" s="560">
        <v>15790707950</v>
      </c>
      <c r="G79" s="559">
        <v>6155877668</v>
      </c>
      <c r="H79" s="560">
        <v>4938738022.9359999</v>
      </c>
      <c r="I79" s="566">
        <f t="shared" ref="I79:I89" si="22">F79/$F$90</f>
        <v>0.36101898122556692</v>
      </c>
      <c r="J79" s="567">
        <f>H79/$H$90</f>
        <v>0.36714351139948548</v>
      </c>
      <c r="K79" s="395"/>
      <c r="L79" s="395"/>
      <c r="M79" s="395"/>
      <c r="N79" s="395"/>
      <c r="O79" s="395"/>
      <c r="P79" s="395"/>
    </row>
    <row r="80" spans="4:22" x14ac:dyDescent="0.25">
      <c r="D80" s="558" t="s">
        <v>1868</v>
      </c>
      <c r="E80" s="559">
        <v>9868421000</v>
      </c>
      <c r="F80" s="560">
        <v>9868421000</v>
      </c>
      <c r="G80" s="559">
        <v>5216897872</v>
      </c>
      <c r="H80" s="560">
        <v>3513762379.4200006</v>
      </c>
      <c r="I80" s="566">
        <f t="shared" si="22"/>
        <v>0.22561922537013232</v>
      </c>
      <c r="J80" s="567">
        <f>H80/$H$90</f>
        <v>0.2612114779550006</v>
      </c>
      <c r="K80" s="395"/>
      <c r="L80" s="395"/>
      <c r="M80" s="395"/>
      <c r="N80" s="395"/>
      <c r="O80" s="395"/>
      <c r="P80" s="395"/>
    </row>
    <row r="81" spans="4:16" x14ac:dyDescent="0.25">
      <c r="D81" s="558" t="s">
        <v>1871</v>
      </c>
      <c r="E81" s="559">
        <v>16178955600</v>
      </c>
      <c r="F81" s="560">
        <v>5929155000</v>
      </c>
      <c r="G81" s="559">
        <v>490335000</v>
      </c>
      <c r="H81" s="560">
        <v>443315000</v>
      </c>
      <c r="I81" s="566">
        <f t="shared" si="22"/>
        <v>0.13555677835384677</v>
      </c>
      <c r="J81" s="567">
        <f>H81/H90</f>
        <v>3.2955833048885753E-2</v>
      </c>
      <c r="K81" s="395"/>
      <c r="L81" s="395"/>
      <c r="M81" s="395"/>
      <c r="N81" s="395"/>
      <c r="O81" s="395"/>
      <c r="P81" s="395"/>
    </row>
    <row r="82" spans="4:16" x14ac:dyDescent="0.25">
      <c r="D82" s="558" t="s">
        <v>1875</v>
      </c>
      <c r="E82" s="559">
        <v>7310925572</v>
      </c>
      <c r="F82" s="560">
        <v>4949784985.4099998</v>
      </c>
      <c r="G82" s="559">
        <v>4007905141.4499998</v>
      </c>
      <c r="H82" s="560">
        <v>1191228733.73</v>
      </c>
      <c r="I82" s="566">
        <f t="shared" si="22"/>
        <v>0.11316568822478448</v>
      </c>
      <c r="J82" s="567">
        <f t="shared" ref="J82:J89" si="23">H82/$H$90</f>
        <v>8.8555395761121244E-2</v>
      </c>
      <c r="K82" s="395"/>
      <c r="L82" s="395"/>
      <c r="M82" s="395"/>
      <c r="N82" s="395"/>
      <c r="O82" s="395"/>
      <c r="P82" s="395"/>
    </row>
    <row r="83" spans="4:16" x14ac:dyDescent="0.25">
      <c r="D83" s="558" t="s">
        <v>1880</v>
      </c>
      <c r="E83" s="559">
        <v>5811006000</v>
      </c>
      <c r="F83" s="560">
        <v>4644761000</v>
      </c>
      <c r="G83" s="559">
        <v>2305071719</v>
      </c>
      <c r="H83" s="560">
        <v>2283962125</v>
      </c>
      <c r="I83" s="566">
        <f t="shared" si="22"/>
        <v>0.10619200162309667</v>
      </c>
      <c r="J83" s="567">
        <f t="shared" si="23"/>
        <v>0.16978869309966579</v>
      </c>
      <c r="K83" s="395"/>
      <c r="L83" s="395"/>
      <c r="M83" s="395"/>
      <c r="N83" s="395"/>
      <c r="O83" s="395"/>
      <c r="P83" s="395"/>
    </row>
    <row r="84" spans="4:16" x14ac:dyDescent="0.25">
      <c r="D84" t="s">
        <v>1881</v>
      </c>
      <c r="E84" s="287">
        <v>1401419000</v>
      </c>
      <c r="F84" s="343">
        <v>1038904305</v>
      </c>
      <c r="G84" s="287">
        <v>827231305</v>
      </c>
      <c r="H84" s="343">
        <v>474857912.20000005</v>
      </c>
      <c r="I84" s="566">
        <f t="shared" si="22"/>
        <v>2.375220762549507E-2</v>
      </c>
      <c r="J84" s="567">
        <f t="shared" si="23"/>
        <v>3.5300718623113701E-2</v>
      </c>
      <c r="K84" s="395"/>
      <c r="L84" s="395"/>
      <c r="M84" s="395"/>
      <c r="N84" s="395"/>
      <c r="O84" s="395"/>
      <c r="P84" s="395"/>
    </row>
    <row r="85" spans="4:16" x14ac:dyDescent="0.25">
      <c r="D85" t="s">
        <v>1872</v>
      </c>
      <c r="E85" s="287">
        <v>424731000</v>
      </c>
      <c r="F85" s="343">
        <v>424731000</v>
      </c>
      <c r="G85" s="287">
        <v>421898722</v>
      </c>
      <c r="H85" s="343">
        <v>166444103</v>
      </c>
      <c r="I85" s="566">
        <f t="shared" si="22"/>
        <v>9.7105179451385058E-3</v>
      </c>
      <c r="J85" s="567">
        <f t="shared" si="23"/>
        <v>1.2373378005345059E-2</v>
      </c>
      <c r="K85" s="395"/>
      <c r="L85" s="395"/>
      <c r="M85" s="395"/>
      <c r="N85" s="395"/>
      <c r="O85" s="395"/>
      <c r="P85" s="395"/>
    </row>
    <row r="86" spans="4:16" x14ac:dyDescent="0.25">
      <c r="D86" t="s">
        <v>1878</v>
      </c>
      <c r="E86" s="287">
        <v>778100000</v>
      </c>
      <c r="F86" s="343">
        <v>388972000</v>
      </c>
      <c r="G86" s="287">
        <v>220837981</v>
      </c>
      <c r="H86" s="343">
        <v>214237981</v>
      </c>
      <c r="I86" s="566">
        <f t="shared" si="22"/>
        <v>8.8929689289371731E-3</v>
      </c>
      <c r="J86" s="567">
        <f t="shared" si="23"/>
        <v>1.5926352897073996E-2</v>
      </c>
      <c r="K86" s="395"/>
      <c r="L86" s="395"/>
      <c r="M86" s="395"/>
      <c r="N86" s="395"/>
      <c r="O86" s="395"/>
      <c r="P86" s="395"/>
    </row>
    <row r="87" spans="4:16" x14ac:dyDescent="0.25">
      <c r="D87" t="s">
        <v>1884</v>
      </c>
      <c r="E87" s="287">
        <v>406237000</v>
      </c>
      <c r="F87" s="343">
        <v>387608236</v>
      </c>
      <c r="G87" s="287">
        <v>370763236</v>
      </c>
      <c r="H87" s="343">
        <v>155245398</v>
      </c>
      <c r="I87" s="566">
        <f t="shared" si="22"/>
        <v>8.8617895358744266E-3</v>
      </c>
      <c r="J87" s="567">
        <f t="shared" si="23"/>
        <v>1.1540871430237692E-2</v>
      </c>
      <c r="K87" s="395"/>
      <c r="L87" s="395"/>
      <c r="M87" s="395"/>
      <c r="N87" s="395"/>
      <c r="O87" s="395"/>
      <c r="P87" s="395"/>
    </row>
    <row r="88" spans="4:16" x14ac:dyDescent="0.25">
      <c r="D88" t="s">
        <v>1879</v>
      </c>
      <c r="E88" s="287">
        <v>135480000</v>
      </c>
      <c r="F88" s="343">
        <v>135480000</v>
      </c>
      <c r="G88" s="287">
        <v>0</v>
      </c>
      <c r="H88" s="343">
        <v>0</v>
      </c>
      <c r="I88" s="566">
        <f t="shared" si="22"/>
        <v>3.0974451387051211E-3</v>
      </c>
      <c r="J88" s="567">
        <f t="shared" si="23"/>
        <v>0</v>
      </c>
      <c r="K88" s="395"/>
      <c r="L88" s="395"/>
      <c r="M88" s="395"/>
      <c r="N88" s="395"/>
      <c r="O88" s="395"/>
      <c r="P88" s="395"/>
    </row>
    <row r="89" spans="4:16" x14ac:dyDescent="0.25">
      <c r="D89" t="s">
        <v>1886</v>
      </c>
      <c r="E89" s="287">
        <v>252630000</v>
      </c>
      <c r="F89" s="343">
        <v>70000000</v>
      </c>
      <c r="G89" s="287">
        <v>70000000</v>
      </c>
      <c r="H89" s="343">
        <v>70000000</v>
      </c>
      <c r="I89" s="566">
        <f t="shared" si="22"/>
        <v>1.6003923804942314E-3</v>
      </c>
      <c r="J89" s="567">
        <f t="shared" si="23"/>
        <v>5.2037677800706103E-3</v>
      </c>
      <c r="K89" s="395"/>
      <c r="L89" s="395"/>
      <c r="M89" s="395"/>
      <c r="N89" s="395"/>
      <c r="O89" s="395"/>
      <c r="P89" s="395"/>
    </row>
    <row r="90" spans="4:16" x14ac:dyDescent="0.25">
      <c r="D90" s="555" t="s">
        <v>1887</v>
      </c>
      <c r="E90" s="542">
        <f>SUM(E78:E89)</f>
        <v>57867002122</v>
      </c>
      <c r="F90" s="542">
        <f t="shared" ref="F90:H90" si="24">SUM(F78:F89)</f>
        <v>43739273476.410004</v>
      </c>
      <c r="G90" s="542">
        <f t="shared" si="24"/>
        <v>20086818644.450001</v>
      </c>
      <c r="H90" s="542">
        <f t="shared" si="24"/>
        <v>13451791655.286001</v>
      </c>
      <c r="I90" s="556">
        <f>F90/$F$90</f>
        <v>1</v>
      </c>
      <c r="J90" s="565">
        <f>SUBTOTAL(9,J78:J89)</f>
        <v>1</v>
      </c>
    </row>
    <row r="91" spans="4:16" x14ac:dyDescent="0.25">
      <c r="F91" s="556">
        <f>F89/E89</f>
        <v>0.27708506511499031</v>
      </c>
      <c r="H91" s="556">
        <f>H89/F89</f>
        <v>1</v>
      </c>
    </row>
    <row r="92" spans="4:16" x14ac:dyDescent="0.25">
      <c r="D92" t="s">
        <v>1867</v>
      </c>
      <c r="E92" t="s">
        <v>721</v>
      </c>
    </row>
    <row r="93" spans="4:16" x14ac:dyDescent="0.25">
      <c r="D93" t="s">
        <v>1869</v>
      </c>
      <c r="E93">
        <v>2</v>
      </c>
      <c r="F93">
        <v>5</v>
      </c>
    </row>
    <row r="94" spans="4:16" x14ac:dyDescent="0.25">
      <c r="D94" t="s">
        <v>1884</v>
      </c>
      <c r="E94">
        <v>4</v>
      </c>
      <c r="F94">
        <v>35</v>
      </c>
    </row>
    <row r="95" spans="4:16" x14ac:dyDescent="0.25">
      <c r="D95" s="564" t="s">
        <v>1875</v>
      </c>
      <c r="E95" s="564">
        <v>11</v>
      </c>
      <c r="F95">
        <v>21</v>
      </c>
    </row>
    <row r="96" spans="4:16" x14ac:dyDescent="0.25">
      <c r="D96" t="s">
        <v>1885</v>
      </c>
      <c r="E96">
        <v>1</v>
      </c>
      <c r="F96">
        <f>F93+F94+F95</f>
        <v>61</v>
      </c>
    </row>
    <row r="97" spans="4:5" x14ac:dyDescent="0.25">
      <c r="D97" t="s">
        <v>1879</v>
      </c>
      <c r="E97">
        <v>1</v>
      </c>
    </row>
    <row r="98" spans="4:5" x14ac:dyDescent="0.25">
      <c r="D98" s="564" t="s">
        <v>1880</v>
      </c>
      <c r="E98" s="564">
        <v>12</v>
      </c>
    </row>
    <row r="99" spans="4:5" x14ac:dyDescent="0.25">
      <c r="D99" t="s">
        <v>1878</v>
      </c>
      <c r="E99">
        <v>3</v>
      </c>
    </row>
    <row r="100" spans="4:5" x14ac:dyDescent="0.25">
      <c r="D100" t="s">
        <v>1871</v>
      </c>
      <c r="E100">
        <v>3</v>
      </c>
    </row>
    <row r="101" spans="4:5" x14ac:dyDescent="0.25">
      <c r="D101" t="s">
        <v>1881</v>
      </c>
      <c r="E101">
        <v>6</v>
      </c>
    </row>
    <row r="102" spans="4:5" x14ac:dyDescent="0.25">
      <c r="D102" s="564" t="s">
        <v>1877</v>
      </c>
      <c r="E102" s="564">
        <v>9</v>
      </c>
    </row>
    <row r="103" spans="4:5" x14ac:dyDescent="0.25">
      <c r="D103" t="s">
        <v>1886</v>
      </c>
      <c r="E103">
        <v>1</v>
      </c>
    </row>
    <row r="104" spans="4:5" x14ac:dyDescent="0.25">
      <c r="D104" s="564" t="s">
        <v>1868</v>
      </c>
      <c r="E104" s="564">
        <v>7</v>
      </c>
    </row>
    <row r="105" spans="4:5" x14ac:dyDescent="0.25">
      <c r="E105">
        <f>SUM(E93:E104)</f>
        <v>60</v>
      </c>
    </row>
    <row r="119" spans="4:4" x14ac:dyDescent="0.25">
      <c r="D119" s="20"/>
    </row>
  </sheetData>
  <autoFilter ref="A2:U72">
    <filterColumn colId="2">
      <filters>
        <filter val="SECTOR"/>
        <filter val="VIAS"/>
      </filters>
    </filterColumn>
    <filterColumn colId="8" showButton="0"/>
    <filterColumn colId="10" showButton="0"/>
  </autoFilter>
  <sortState ref="A2:U64">
    <sortCondition descending="1" ref="I72"/>
  </sortState>
  <mergeCells count="4">
    <mergeCell ref="W2:X2"/>
    <mergeCell ref="Y2:Z2"/>
    <mergeCell ref="I2:J2"/>
    <mergeCell ref="K2:L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G25"/>
  <sheetViews>
    <sheetView topLeftCell="A20" workbookViewId="0">
      <selection activeCell="D29" sqref="D29"/>
    </sheetView>
  </sheetViews>
  <sheetFormatPr baseColWidth="10" defaultRowHeight="15" x14ac:dyDescent="0.25"/>
  <cols>
    <col min="3" max="3" width="37" customWidth="1"/>
    <col min="4" max="4" width="38.28515625" customWidth="1"/>
    <col min="5" max="5" width="23.7109375" customWidth="1"/>
    <col min="6" max="6" width="25.42578125" customWidth="1"/>
    <col min="7" max="7" width="21.5703125" customWidth="1"/>
  </cols>
  <sheetData>
    <row r="2" spans="3:5" ht="21.75" customHeight="1" x14ac:dyDescent="0.25">
      <c r="C2" s="489">
        <v>1</v>
      </c>
      <c r="D2" s="489">
        <v>2014</v>
      </c>
      <c r="E2" s="490" t="s">
        <v>1745</v>
      </c>
    </row>
    <row r="3" spans="3:5" ht="18.75" customHeight="1" x14ac:dyDescent="0.25">
      <c r="C3" s="489">
        <v>2</v>
      </c>
      <c r="D3" s="489">
        <v>2013</v>
      </c>
      <c r="E3" s="490" t="s">
        <v>1746</v>
      </c>
    </row>
    <row r="4" spans="3:5" ht="21.75" customHeight="1" x14ac:dyDescent="0.25">
      <c r="C4" s="489">
        <v>3</v>
      </c>
      <c r="D4" s="489">
        <v>2013</v>
      </c>
      <c r="E4" s="491" t="s">
        <v>1747</v>
      </c>
    </row>
    <row r="5" spans="3:5" ht="18" customHeight="1" x14ac:dyDescent="0.25">
      <c r="C5" s="489">
        <v>4</v>
      </c>
      <c r="D5" s="489">
        <v>2013</v>
      </c>
      <c r="E5" s="491" t="s">
        <v>1748</v>
      </c>
    </row>
    <row r="6" spans="3:5" ht="14.25" customHeight="1" x14ac:dyDescent="0.25">
      <c r="C6" s="492">
        <v>5</v>
      </c>
      <c r="D6" s="492" t="s">
        <v>1673</v>
      </c>
      <c r="E6" s="493" t="s">
        <v>1749</v>
      </c>
    </row>
    <row r="8" spans="3:5" x14ac:dyDescent="0.25">
      <c r="C8" s="494">
        <v>1</v>
      </c>
      <c r="D8" s="91"/>
      <c r="E8" s="91" t="s">
        <v>1745</v>
      </c>
    </row>
    <row r="9" spans="3:5" x14ac:dyDescent="0.25">
      <c r="C9" s="494">
        <v>2</v>
      </c>
      <c r="D9" s="91"/>
      <c r="E9" s="490" t="s">
        <v>1746</v>
      </c>
    </row>
    <row r="10" spans="3:5" x14ac:dyDescent="0.25">
      <c r="C10" s="494">
        <v>3</v>
      </c>
      <c r="D10" s="91"/>
      <c r="E10" s="491" t="s">
        <v>1747</v>
      </c>
    </row>
    <row r="11" spans="3:5" ht="30" x14ac:dyDescent="0.25">
      <c r="C11" s="494">
        <v>4</v>
      </c>
      <c r="D11" s="91"/>
      <c r="E11" s="491" t="s">
        <v>1748</v>
      </c>
    </row>
    <row r="12" spans="3:5" x14ac:dyDescent="0.25">
      <c r="C12" s="494">
        <v>5</v>
      </c>
      <c r="D12" s="91"/>
      <c r="E12" s="91" t="s">
        <v>1750</v>
      </c>
    </row>
    <row r="23" spans="3:7" x14ac:dyDescent="0.25">
      <c r="C23" s="91" t="s">
        <v>1867</v>
      </c>
      <c r="D23" s="557" t="s">
        <v>1882</v>
      </c>
      <c r="E23" s="557" t="s">
        <v>1857</v>
      </c>
      <c r="F23" s="91" t="s">
        <v>1858</v>
      </c>
      <c r="G23" s="539" t="s">
        <v>1859</v>
      </c>
    </row>
    <row r="24" spans="3:7" ht="59.25" customHeight="1" x14ac:dyDescent="0.25">
      <c r="C24" s="249" t="s">
        <v>1869</v>
      </c>
      <c r="D24" s="20" t="s">
        <v>1893</v>
      </c>
      <c r="E24" s="313">
        <v>231589000</v>
      </c>
      <c r="F24" s="313">
        <v>35748000</v>
      </c>
      <c r="G24" s="128">
        <v>0</v>
      </c>
    </row>
    <row r="25" spans="3:7" ht="45" x14ac:dyDescent="0.25">
      <c r="C25" s="127" t="s">
        <v>1869</v>
      </c>
      <c r="D25" s="127" t="s">
        <v>1684</v>
      </c>
      <c r="E25" s="541">
        <v>75000000</v>
      </c>
      <c r="F25" s="541">
        <v>75000000</v>
      </c>
      <c r="G25" s="347">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O25"/>
  <sheetViews>
    <sheetView topLeftCell="A16" zoomScale="80" zoomScaleNormal="80" workbookViewId="0">
      <selection activeCell="A5" sqref="A5:AO18"/>
    </sheetView>
  </sheetViews>
  <sheetFormatPr baseColWidth="10" defaultRowHeight="15" x14ac:dyDescent="0.25"/>
  <cols>
    <col min="3" max="3" width="13.140625" customWidth="1"/>
    <col min="5" max="5" width="28.85546875" customWidth="1"/>
    <col min="6" max="6" width="31" customWidth="1"/>
    <col min="7" max="7" width="21.7109375" customWidth="1"/>
    <col min="8" max="8" width="13.140625" customWidth="1"/>
    <col min="11" max="11" width="18.42578125" customWidth="1"/>
    <col min="12" max="12" width="47.140625" customWidth="1"/>
    <col min="13" max="13" width="17.28515625" customWidth="1"/>
    <col min="19" max="19" width="18.7109375" customWidth="1"/>
    <col min="21" max="21" width="18.42578125" customWidth="1"/>
    <col min="22" max="23" width="18.28515625" customWidth="1"/>
    <col min="24" max="24" width="18.5703125" customWidth="1"/>
    <col min="25" max="25" width="16.42578125" customWidth="1"/>
    <col min="26" max="26" width="17" customWidth="1"/>
    <col min="27" max="27" width="18.7109375" customWidth="1"/>
    <col min="31" max="31" width="17.42578125" bestFit="1" customWidth="1"/>
    <col min="33" max="33" width="17.85546875" customWidth="1"/>
    <col min="36" max="36" width="42" customWidth="1"/>
    <col min="37" max="37" width="84.85546875" customWidth="1"/>
    <col min="38" max="38" width="81.28515625" customWidth="1"/>
  </cols>
  <sheetData>
    <row r="3" spans="1:41" ht="15.75" x14ac:dyDescent="0.25">
      <c r="A3" s="1035" t="s">
        <v>721</v>
      </c>
      <c r="B3" s="1036" t="s">
        <v>79</v>
      </c>
      <c r="C3" s="1036"/>
      <c r="D3" s="1036"/>
      <c r="E3" s="1036"/>
      <c r="F3" s="1036" t="s">
        <v>80</v>
      </c>
      <c r="G3" s="1036"/>
      <c r="H3" s="1036"/>
      <c r="I3" s="1036" t="s">
        <v>81</v>
      </c>
      <c r="J3" s="1036"/>
      <c r="K3" s="1036"/>
      <c r="L3" s="1036"/>
      <c r="M3" s="1036"/>
      <c r="N3" s="1036"/>
      <c r="O3" s="1036"/>
      <c r="P3" s="1036"/>
      <c r="Q3" s="1036"/>
      <c r="R3" s="1036"/>
      <c r="S3" s="1036"/>
      <c r="T3" s="1036"/>
      <c r="U3" s="1036"/>
      <c r="V3" s="1036"/>
      <c r="W3" s="1036"/>
      <c r="X3" s="1036"/>
      <c r="Y3" s="1036"/>
      <c r="Z3" s="1036"/>
      <c r="AA3" s="1036"/>
      <c r="AB3" s="1036"/>
      <c r="AC3" s="1036"/>
      <c r="AD3" s="1036"/>
      <c r="AE3" s="1036"/>
      <c r="AF3" s="1036"/>
      <c r="AG3" s="1036"/>
      <c r="AH3" s="1036"/>
      <c r="AI3" s="1036"/>
      <c r="AJ3" s="1036"/>
      <c r="AK3" s="1036" t="s">
        <v>80</v>
      </c>
      <c r="AL3" s="1036"/>
      <c r="AM3" s="1036"/>
      <c r="AN3" s="1036"/>
    </row>
    <row r="4" spans="1:41" ht="60" x14ac:dyDescent="0.25">
      <c r="A4" s="1035"/>
      <c r="B4" s="267" t="s">
        <v>0</v>
      </c>
      <c r="C4" s="267" t="s">
        <v>6</v>
      </c>
      <c r="D4" s="267" t="s">
        <v>1</v>
      </c>
      <c r="E4" s="267" t="s">
        <v>2</v>
      </c>
      <c r="F4" s="267" t="s">
        <v>3</v>
      </c>
      <c r="G4" s="267" t="s">
        <v>3</v>
      </c>
      <c r="H4" s="267" t="s">
        <v>5</v>
      </c>
      <c r="I4" s="227" t="s">
        <v>721</v>
      </c>
      <c r="J4" s="267" t="s">
        <v>7</v>
      </c>
      <c r="K4" s="267" t="s">
        <v>8</v>
      </c>
      <c r="L4" s="267" t="s">
        <v>9</v>
      </c>
      <c r="M4" s="268" t="s">
        <v>11</v>
      </c>
      <c r="N4" s="267" t="s">
        <v>10</v>
      </c>
      <c r="O4" s="267" t="s">
        <v>12</v>
      </c>
      <c r="P4" s="267" t="s">
        <v>13</v>
      </c>
      <c r="Q4" s="267" t="s">
        <v>14</v>
      </c>
      <c r="R4" s="267" t="s">
        <v>15</v>
      </c>
      <c r="S4" s="268" t="s">
        <v>28</v>
      </c>
      <c r="T4" s="267" t="s">
        <v>16</v>
      </c>
      <c r="U4" s="269" t="s">
        <v>133</v>
      </c>
      <c r="V4" s="268" t="s">
        <v>263</v>
      </c>
      <c r="W4" s="268" t="s">
        <v>17</v>
      </c>
      <c r="X4" s="268" t="s">
        <v>18</v>
      </c>
      <c r="Y4" s="268" t="s">
        <v>280</v>
      </c>
      <c r="Z4" s="268" t="s">
        <v>281</v>
      </c>
      <c r="AA4" s="268" t="s">
        <v>282</v>
      </c>
      <c r="AB4" s="268" t="s">
        <v>283</v>
      </c>
      <c r="AC4" s="268" t="s">
        <v>284</v>
      </c>
      <c r="AD4" s="268" t="s">
        <v>285</v>
      </c>
      <c r="AE4" s="268" t="s">
        <v>286</v>
      </c>
      <c r="AF4" s="268" t="s">
        <v>287</v>
      </c>
      <c r="AG4" s="268" t="s">
        <v>19</v>
      </c>
      <c r="AH4" s="267" t="s">
        <v>20</v>
      </c>
      <c r="AI4" s="267" t="s">
        <v>21</v>
      </c>
      <c r="AJ4" s="267" t="s">
        <v>22</v>
      </c>
      <c r="AK4" s="267" t="s">
        <v>23</v>
      </c>
      <c r="AL4" s="267" t="s">
        <v>24</v>
      </c>
      <c r="AM4" s="270" t="s">
        <v>33</v>
      </c>
      <c r="AN4" s="270" t="s">
        <v>32</v>
      </c>
    </row>
    <row r="5" spans="1:41" ht="154.5" customHeight="1" x14ac:dyDescent="0.25">
      <c r="A5" s="1041">
        <v>1</v>
      </c>
      <c r="B5" s="1043" t="s">
        <v>390</v>
      </c>
      <c r="C5" s="1043" t="s">
        <v>833</v>
      </c>
      <c r="D5" s="1043">
        <v>2013</v>
      </c>
      <c r="E5" s="1041" t="s">
        <v>834</v>
      </c>
      <c r="F5" s="1033" t="s">
        <v>804</v>
      </c>
      <c r="G5" s="1031">
        <v>142360000</v>
      </c>
      <c r="H5" s="1033" t="s">
        <v>805</v>
      </c>
      <c r="I5" s="233">
        <v>1</v>
      </c>
      <c r="J5" s="235" t="s">
        <v>806</v>
      </c>
      <c r="K5" s="235" t="s">
        <v>807</v>
      </c>
      <c r="L5" s="235" t="s">
        <v>808</v>
      </c>
      <c r="M5" s="271">
        <v>15000000</v>
      </c>
      <c r="N5" s="235" t="s">
        <v>809</v>
      </c>
      <c r="O5" s="272">
        <v>41487</v>
      </c>
      <c r="P5" s="235"/>
      <c r="Q5" s="235"/>
      <c r="R5" s="235" t="s">
        <v>810</v>
      </c>
      <c r="S5" s="271">
        <v>18000000</v>
      </c>
      <c r="T5" s="235" t="s">
        <v>811</v>
      </c>
      <c r="U5" s="273">
        <v>15000000</v>
      </c>
      <c r="V5" s="271"/>
      <c r="W5" s="271">
        <v>3000000</v>
      </c>
      <c r="X5" s="271">
        <v>3000000</v>
      </c>
      <c r="Y5" s="271">
        <v>3000000</v>
      </c>
      <c r="Z5" s="271">
        <v>3000000</v>
      </c>
      <c r="AA5" s="271">
        <v>3000000</v>
      </c>
      <c r="AB5" s="271"/>
      <c r="AC5" s="99"/>
      <c r="AD5" s="99"/>
      <c r="AE5" s="99"/>
      <c r="AF5" s="99"/>
      <c r="AG5" s="274">
        <f>SUM(V5:AF5)</f>
        <v>15000000</v>
      </c>
      <c r="AH5" s="235" t="s">
        <v>237</v>
      </c>
      <c r="AI5" s="235" t="s">
        <v>812</v>
      </c>
      <c r="AJ5" s="275" t="s">
        <v>829</v>
      </c>
      <c r="AK5" s="235" t="s">
        <v>813</v>
      </c>
      <c r="AL5" s="235" t="s">
        <v>1343</v>
      </c>
      <c r="AM5" s="232">
        <v>100</v>
      </c>
      <c r="AN5" s="276">
        <f>(AG5*100)/U5</f>
        <v>100</v>
      </c>
    </row>
    <row r="6" spans="1:41" ht="198.75" customHeight="1" x14ac:dyDescent="0.25">
      <c r="A6" s="1042"/>
      <c r="B6" s="1043"/>
      <c r="C6" s="1043"/>
      <c r="D6" s="1043"/>
      <c r="E6" s="1042"/>
      <c r="F6" s="1033"/>
      <c r="G6" s="1031"/>
      <c r="H6" s="1033"/>
      <c r="I6" s="234">
        <v>2</v>
      </c>
      <c r="J6" s="234" t="s">
        <v>814</v>
      </c>
      <c r="K6" s="234" t="s">
        <v>815</v>
      </c>
      <c r="L6" s="234" t="s">
        <v>816</v>
      </c>
      <c r="M6" s="99">
        <v>20408000</v>
      </c>
      <c r="N6" s="234" t="s">
        <v>1371</v>
      </c>
      <c r="O6" s="100">
        <v>41638</v>
      </c>
      <c r="P6" s="100">
        <v>41639</v>
      </c>
      <c r="Q6" s="100">
        <v>41639</v>
      </c>
      <c r="R6" s="234" t="s">
        <v>817</v>
      </c>
      <c r="S6" s="101">
        <f>15500000+4918000</f>
        <v>20418000</v>
      </c>
      <c r="T6" s="234"/>
      <c r="U6" s="102"/>
      <c r="V6" s="99"/>
      <c r="W6" s="99">
        <v>20408000</v>
      </c>
      <c r="X6" s="99"/>
      <c r="Y6" s="99"/>
      <c r="Z6" s="99"/>
      <c r="AA6" s="99"/>
      <c r="AB6" s="99"/>
      <c r="AC6" s="99"/>
      <c r="AD6" s="99"/>
      <c r="AE6" s="99"/>
      <c r="AF6" s="99"/>
      <c r="AG6" s="99">
        <f>SUM(V6:AF6)</f>
        <v>20408000</v>
      </c>
      <c r="AH6" s="234" t="s">
        <v>237</v>
      </c>
      <c r="AI6" s="234" t="s">
        <v>812</v>
      </c>
      <c r="AJ6" s="234" t="s">
        <v>830</v>
      </c>
      <c r="AK6" s="234" t="s">
        <v>818</v>
      </c>
      <c r="AL6" s="234" t="s">
        <v>1342</v>
      </c>
      <c r="AM6" s="234">
        <v>100</v>
      </c>
      <c r="AN6" s="277">
        <v>100</v>
      </c>
    </row>
    <row r="7" spans="1:41" ht="127.5" customHeight="1" x14ac:dyDescent="0.25">
      <c r="A7" s="1042"/>
      <c r="B7" s="1043"/>
      <c r="C7" s="1043"/>
      <c r="D7" s="1043"/>
      <c r="E7" s="1042"/>
      <c r="F7" s="1033"/>
      <c r="G7" s="1031"/>
      <c r="H7" s="1033"/>
      <c r="I7" s="234">
        <v>3</v>
      </c>
      <c r="J7" s="234" t="s">
        <v>827</v>
      </c>
      <c r="K7" s="234" t="s">
        <v>819</v>
      </c>
      <c r="L7" s="234" t="s">
        <v>820</v>
      </c>
      <c r="M7" s="99">
        <v>20800000</v>
      </c>
      <c r="N7" s="234" t="s">
        <v>176</v>
      </c>
      <c r="O7" s="100">
        <v>41601</v>
      </c>
      <c r="P7" s="100">
        <v>41639</v>
      </c>
      <c r="Q7" s="100">
        <v>41639</v>
      </c>
      <c r="R7" s="234" t="s">
        <v>821</v>
      </c>
      <c r="S7" s="99">
        <v>25500000</v>
      </c>
      <c r="T7" s="234" t="s">
        <v>822</v>
      </c>
      <c r="U7" s="102">
        <v>20800000</v>
      </c>
      <c r="V7" s="99"/>
      <c r="W7" s="99">
        <v>20800000</v>
      </c>
      <c r="X7" s="99"/>
      <c r="Y7" s="99"/>
      <c r="Z7" s="99"/>
      <c r="AA7" s="99"/>
      <c r="AB7" s="99"/>
      <c r="AC7" s="99"/>
      <c r="AD7" s="99"/>
      <c r="AE7" s="99"/>
      <c r="AF7" s="99"/>
      <c r="AG7" s="99">
        <f>SUM(V7:AF7)</f>
        <v>20800000</v>
      </c>
      <c r="AH7" s="234" t="s">
        <v>237</v>
      </c>
      <c r="AI7" s="234" t="s">
        <v>812</v>
      </c>
      <c r="AJ7" s="234" t="s">
        <v>830</v>
      </c>
      <c r="AK7" s="234" t="s">
        <v>831</v>
      </c>
      <c r="AL7" s="234" t="s">
        <v>1344</v>
      </c>
      <c r="AM7" s="234">
        <v>100</v>
      </c>
      <c r="AN7" s="234">
        <v>100</v>
      </c>
    </row>
    <row r="8" spans="1:41" ht="129" customHeight="1" x14ac:dyDescent="0.25">
      <c r="A8" s="1042"/>
      <c r="B8" s="1044"/>
      <c r="C8" s="1044"/>
      <c r="D8" s="1044"/>
      <c r="E8" s="1042"/>
      <c r="F8" s="1034"/>
      <c r="G8" s="1032"/>
      <c r="H8" s="1034"/>
      <c r="I8" s="235">
        <v>4</v>
      </c>
      <c r="J8" s="235" t="s">
        <v>826</v>
      </c>
      <c r="K8" s="234" t="s">
        <v>828</v>
      </c>
      <c r="L8" s="234" t="s">
        <v>823</v>
      </c>
      <c r="M8" s="99">
        <v>37550000</v>
      </c>
      <c r="N8" s="234" t="s">
        <v>176</v>
      </c>
      <c r="O8" s="100">
        <v>41600</v>
      </c>
      <c r="P8" s="100">
        <v>41639</v>
      </c>
      <c r="Q8" s="100">
        <v>41639</v>
      </c>
      <c r="R8" s="234" t="s">
        <v>824</v>
      </c>
      <c r="S8" s="99">
        <v>44611695</v>
      </c>
      <c r="T8" s="234" t="s">
        <v>825</v>
      </c>
      <c r="U8" s="103">
        <v>37550000</v>
      </c>
      <c r="V8" s="99"/>
      <c r="W8" s="99">
        <v>33795000</v>
      </c>
      <c r="X8" s="99">
        <v>3755000</v>
      </c>
      <c r="Y8" s="99"/>
      <c r="Z8" s="99"/>
      <c r="AA8" s="99"/>
      <c r="AB8" s="99"/>
      <c r="AC8" s="99"/>
      <c r="AD8" s="99"/>
      <c r="AE8" s="99"/>
      <c r="AF8" s="99"/>
      <c r="AG8" s="99">
        <f>SUM(V8:AF8)</f>
        <v>37550000</v>
      </c>
      <c r="AH8" s="234" t="s">
        <v>237</v>
      </c>
      <c r="AI8" s="234" t="s">
        <v>812</v>
      </c>
      <c r="AJ8" s="234" t="s">
        <v>830</v>
      </c>
      <c r="AK8" s="234" t="s">
        <v>832</v>
      </c>
      <c r="AL8" s="234" t="s">
        <v>832</v>
      </c>
      <c r="AM8" s="234">
        <v>100</v>
      </c>
      <c r="AN8" s="234">
        <v>100</v>
      </c>
    </row>
    <row r="9" spans="1:41" x14ac:dyDescent="0.25">
      <c r="A9" s="104"/>
      <c r="B9" s="105"/>
      <c r="C9" s="105"/>
      <c r="D9" s="105"/>
      <c r="E9" s="105"/>
      <c r="F9" s="105"/>
      <c r="G9" s="106"/>
      <c r="H9" s="105"/>
      <c r="I9" s="105"/>
      <c r="J9" s="105"/>
      <c r="K9" s="105"/>
      <c r="L9" s="105"/>
      <c r="M9" s="99">
        <f>SUM(M5:M8)</f>
        <v>93758000</v>
      </c>
      <c r="N9" s="105"/>
      <c r="O9" s="105"/>
      <c r="P9" s="105"/>
      <c r="Q9" s="105"/>
      <c r="R9" s="105"/>
      <c r="S9" s="99"/>
      <c r="T9" s="105"/>
      <c r="U9" s="102">
        <f>SUM(U5:U8)</f>
        <v>73350000</v>
      </c>
      <c r="V9" s="99"/>
      <c r="W9" s="99"/>
      <c r="X9" s="99"/>
      <c r="Y9" s="99"/>
      <c r="Z9" s="99"/>
      <c r="AA9" s="99"/>
      <c r="AB9" s="99"/>
      <c r="AC9" s="99"/>
      <c r="AD9" s="99"/>
      <c r="AE9" s="99"/>
      <c r="AF9" s="99"/>
      <c r="AG9" s="99">
        <f>SUM(AG5:AG8)</f>
        <v>93758000</v>
      </c>
      <c r="AH9" s="105"/>
      <c r="AI9" s="105"/>
      <c r="AJ9" s="105"/>
      <c r="AK9" s="105"/>
      <c r="AL9" s="105"/>
      <c r="AM9" s="105">
        <v>100</v>
      </c>
      <c r="AN9" s="105">
        <v>100</v>
      </c>
    </row>
    <row r="10" spans="1:41" ht="315" x14ac:dyDescent="0.25">
      <c r="A10" s="1037">
        <v>2</v>
      </c>
      <c r="B10" s="1037" t="s">
        <v>844</v>
      </c>
      <c r="C10" s="1037" t="s">
        <v>845</v>
      </c>
      <c r="D10" s="1037">
        <v>2013</v>
      </c>
      <c r="E10" s="1038" t="s">
        <v>835</v>
      </c>
      <c r="F10" s="1039" t="s">
        <v>836</v>
      </c>
      <c r="G10" s="1040">
        <v>386530000</v>
      </c>
      <c r="H10" s="1037" t="s">
        <v>846</v>
      </c>
      <c r="I10" s="228">
        <v>1</v>
      </c>
      <c r="J10" s="228" t="s">
        <v>837</v>
      </c>
      <c r="K10" s="228" t="s">
        <v>838</v>
      </c>
      <c r="L10" s="228" t="s">
        <v>839</v>
      </c>
      <c r="M10" s="107">
        <v>18000000</v>
      </c>
      <c r="N10" s="228" t="s">
        <v>335</v>
      </c>
      <c r="O10" s="108">
        <v>41554</v>
      </c>
      <c r="P10" s="109">
        <v>41639</v>
      </c>
      <c r="Q10" s="109">
        <v>41639</v>
      </c>
      <c r="R10" s="228" t="s">
        <v>840</v>
      </c>
      <c r="S10" s="107">
        <f>11550000+6450000</f>
        <v>18000000</v>
      </c>
      <c r="T10" s="228" t="s">
        <v>841</v>
      </c>
      <c r="U10" s="107">
        <f>11550000+6450000</f>
        <v>18000000</v>
      </c>
      <c r="V10" s="107"/>
      <c r="W10" s="107">
        <v>7200000</v>
      </c>
      <c r="X10" s="107">
        <v>7200000</v>
      </c>
      <c r="Y10" s="107">
        <v>3600000</v>
      </c>
      <c r="Z10" s="107"/>
      <c r="AA10" s="107"/>
      <c r="AB10" s="107"/>
      <c r="AC10" s="107"/>
      <c r="AD10" s="107"/>
      <c r="AE10" s="107"/>
      <c r="AF10" s="107"/>
      <c r="AG10" s="107">
        <f>SUM(V10:AF10)</f>
        <v>18000000</v>
      </c>
      <c r="AH10" s="228" t="s">
        <v>237</v>
      </c>
      <c r="AI10" s="228" t="s">
        <v>842</v>
      </c>
      <c r="AJ10" s="228"/>
      <c r="AK10" s="228" t="s">
        <v>843</v>
      </c>
      <c r="AL10" s="228" t="s">
        <v>1345</v>
      </c>
      <c r="AM10" s="228">
        <v>100</v>
      </c>
      <c r="AN10" s="390">
        <f>(AG10*100)/U10</f>
        <v>100</v>
      </c>
      <c r="AO10" s="3"/>
    </row>
    <row r="11" spans="1:41" ht="237" customHeight="1" x14ac:dyDescent="0.25">
      <c r="A11" s="1037"/>
      <c r="B11" s="1037"/>
      <c r="C11" s="1037"/>
      <c r="D11" s="1037"/>
      <c r="E11" s="1038"/>
      <c r="F11" s="1039"/>
      <c r="G11" s="1040"/>
      <c r="H11" s="1037"/>
      <c r="I11" s="228">
        <v>2</v>
      </c>
      <c r="J11" s="228" t="s">
        <v>856</v>
      </c>
      <c r="K11" s="228" t="s">
        <v>847</v>
      </c>
      <c r="L11" s="228" t="s">
        <v>848</v>
      </c>
      <c r="M11" s="107">
        <v>95879981</v>
      </c>
      <c r="N11" s="228" t="s">
        <v>850</v>
      </c>
      <c r="O11" s="108">
        <v>41579</v>
      </c>
      <c r="P11" s="108">
        <v>41639</v>
      </c>
      <c r="Q11" s="108">
        <v>41639</v>
      </c>
      <c r="R11" s="228" t="s">
        <v>851</v>
      </c>
      <c r="S11" s="107" t="s">
        <v>849</v>
      </c>
      <c r="T11" s="228" t="s">
        <v>852</v>
      </c>
      <c r="U11" s="110">
        <v>95879981</v>
      </c>
      <c r="V11" s="107"/>
      <c r="W11" s="107">
        <v>95879981</v>
      </c>
      <c r="X11" s="107"/>
      <c r="Y11" s="107"/>
      <c r="Z11" s="107"/>
      <c r="AA11" s="107"/>
      <c r="AB11" s="107"/>
      <c r="AC11" s="107"/>
      <c r="AD11" s="107"/>
      <c r="AE11" s="107"/>
      <c r="AF11" s="107"/>
      <c r="AG11" s="107">
        <f>SUM(V11:AF11)</f>
        <v>95879981</v>
      </c>
      <c r="AH11" s="228" t="s">
        <v>237</v>
      </c>
      <c r="AI11" s="228" t="s">
        <v>853</v>
      </c>
      <c r="AJ11" s="228"/>
      <c r="AK11" s="228" t="s">
        <v>855</v>
      </c>
      <c r="AL11" s="228" t="s">
        <v>854</v>
      </c>
      <c r="AM11" s="228">
        <v>100</v>
      </c>
      <c r="AN11" s="390">
        <f>(AG11*100)/U11</f>
        <v>100</v>
      </c>
      <c r="AO11" s="3"/>
    </row>
    <row r="12" spans="1:41" ht="195" x14ac:dyDescent="0.25">
      <c r="A12" s="1037"/>
      <c r="B12" s="1037"/>
      <c r="C12" s="1037"/>
      <c r="D12" s="1037"/>
      <c r="E12" s="1038"/>
      <c r="F12" s="1039"/>
      <c r="G12" s="1040"/>
      <c r="H12" s="1037"/>
      <c r="I12" s="228">
        <v>3</v>
      </c>
      <c r="J12" s="228" t="s">
        <v>863</v>
      </c>
      <c r="K12" s="228" t="s">
        <v>838</v>
      </c>
      <c r="L12" s="228" t="s">
        <v>864</v>
      </c>
      <c r="M12" s="107">
        <v>9900000</v>
      </c>
      <c r="N12" s="228" t="s">
        <v>776</v>
      </c>
      <c r="O12" s="108">
        <v>41353</v>
      </c>
      <c r="P12" s="108">
        <v>41445</v>
      </c>
      <c r="Q12" s="108">
        <v>41445</v>
      </c>
      <c r="R12" s="228" t="s">
        <v>865</v>
      </c>
      <c r="S12" s="107">
        <v>9900000</v>
      </c>
      <c r="T12" s="228" t="s">
        <v>866</v>
      </c>
      <c r="U12" s="110">
        <v>9900000</v>
      </c>
      <c r="V12" s="107"/>
      <c r="W12" s="107">
        <v>3300000</v>
      </c>
      <c r="X12" s="107"/>
      <c r="Y12" s="107"/>
      <c r="Z12" s="107"/>
      <c r="AA12" s="107"/>
      <c r="AB12" s="107"/>
      <c r="AC12" s="107"/>
      <c r="AD12" s="107"/>
      <c r="AE12" s="107"/>
      <c r="AF12" s="107"/>
      <c r="AG12" s="107">
        <f>SUM(V12:AF12)</f>
        <v>3300000</v>
      </c>
      <c r="AH12" s="228" t="s">
        <v>237</v>
      </c>
      <c r="AI12" s="228" t="s">
        <v>867</v>
      </c>
      <c r="AJ12" s="228"/>
      <c r="AK12" s="228" t="s">
        <v>869</v>
      </c>
      <c r="AL12" s="228" t="s">
        <v>868</v>
      </c>
      <c r="AM12" s="228">
        <v>100</v>
      </c>
      <c r="AN12" s="390">
        <f>(AG12*100)/U12</f>
        <v>33.333333333333336</v>
      </c>
      <c r="AO12" s="3"/>
    </row>
    <row r="13" spans="1:41" ht="180" customHeight="1" x14ac:dyDescent="0.25">
      <c r="A13" s="1037"/>
      <c r="B13" s="1037"/>
      <c r="C13" s="1037"/>
      <c r="D13" s="1037"/>
      <c r="E13" s="1038"/>
      <c r="F13" s="1039"/>
      <c r="G13" s="1040"/>
      <c r="H13" s="1037"/>
      <c r="I13" s="228">
        <v>4</v>
      </c>
      <c r="J13" s="228" t="s">
        <v>857</v>
      </c>
      <c r="K13" s="228" t="s">
        <v>838</v>
      </c>
      <c r="L13" s="228" t="s">
        <v>858</v>
      </c>
      <c r="M13" s="107">
        <v>3300000</v>
      </c>
      <c r="N13" s="228" t="s">
        <v>176</v>
      </c>
      <c r="O13" s="108">
        <v>41449</v>
      </c>
      <c r="P13" s="108">
        <v>41479</v>
      </c>
      <c r="Q13" s="108">
        <v>41479</v>
      </c>
      <c r="R13" s="228" t="s">
        <v>859</v>
      </c>
      <c r="S13" s="107"/>
      <c r="T13" s="228" t="s">
        <v>860</v>
      </c>
      <c r="U13" s="110"/>
      <c r="V13" s="107"/>
      <c r="W13" s="107">
        <v>3300000</v>
      </c>
      <c r="X13" s="107"/>
      <c r="Y13" s="107"/>
      <c r="Z13" s="107"/>
      <c r="AA13" s="107"/>
      <c r="AB13" s="107"/>
      <c r="AC13" s="107"/>
      <c r="AD13" s="107"/>
      <c r="AE13" s="107"/>
      <c r="AF13" s="107"/>
      <c r="AG13" s="107">
        <f>SUM(V13:AF13)</f>
        <v>3300000</v>
      </c>
      <c r="AH13" s="228" t="s">
        <v>237</v>
      </c>
      <c r="AI13" s="228" t="s">
        <v>861</v>
      </c>
      <c r="AJ13" s="228"/>
      <c r="AK13" s="228" t="s">
        <v>862</v>
      </c>
      <c r="AL13" s="228" t="s">
        <v>1346</v>
      </c>
      <c r="AM13" s="228">
        <v>100</v>
      </c>
      <c r="AN13" s="390">
        <v>100</v>
      </c>
      <c r="AO13" s="3"/>
    </row>
    <row r="14" spans="1:41" x14ac:dyDescent="0.25">
      <c r="A14" s="228"/>
      <c r="B14" s="228"/>
      <c r="C14" s="228"/>
      <c r="D14" s="228"/>
      <c r="E14" s="231"/>
      <c r="F14" s="230"/>
      <c r="G14" s="229"/>
      <c r="H14" s="228"/>
      <c r="I14" s="228"/>
      <c r="J14" s="228"/>
      <c r="K14" s="228"/>
      <c r="L14" s="228"/>
      <c r="M14" s="107">
        <f>SUM(M10:M13)</f>
        <v>127079981</v>
      </c>
      <c r="N14" s="228"/>
      <c r="O14" s="108"/>
      <c r="P14" s="108"/>
      <c r="Q14" s="108"/>
      <c r="R14" s="228"/>
      <c r="S14" s="107"/>
      <c r="T14" s="228"/>
      <c r="U14" s="110">
        <f>SUM(U10:U13)</f>
        <v>123779981</v>
      </c>
      <c r="V14" s="107"/>
      <c r="W14" s="107"/>
      <c r="X14" s="107"/>
      <c r="Y14" s="107"/>
      <c r="Z14" s="107"/>
      <c r="AA14" s="107"/>
      <c r="AB14" s="107"/>
      <c r="AC14" s="107"/>
      <c r="AD14" s="107"/>
      <c r="AE14" s="107">
        <f>AG14+(U12-W12)</f>
        <v>127079981</v>
      </c>
      <c r="AF14" s="107"/>
      <c r="AG14" s="107">
        <f>SUM(AG10:AG13)</f>
        <v>120479981</v>
      </c>
      <c r="AH14" s="228"/>
      <c r="AI14" s="228"/>
      <c r="AJ14" s="228"/>
      <c r="AK14" s="228"/>
      <c r="AL14" s="228"/>
      <c r="AM14" s="228">
        <f>SUM(AM10:AM13)/4</f>
        <v>100</v>
      </c>
      <c r="AN14" s="391">
        <f>(AG14/M14)*100</f>
        <v>94.806420375527125</v>
      </c>
      <c r="AO14" s="3"/>
    </row>
    <row r="15" spans="1:41" ht="90" x14ac:dyDescent="0.25">
      <c r="A15" s="111">
        <v>3</v>
      </c>
      <c r="B15" s="111" t="s">
        <v>390</v>
      </c>
      <c r="C15" s="111" t="s">
        <v>870</v>
      </c>
      <c r="D15" s="111">
        <v>2013</v>
      </c>
      <c r="E15" s="111" t="s">
        <v>871</v>
      </c>
      <c r="F15" s="111" t="s">
        <v>872</v>
      </c>
      <c r="G15" s="112">
        <v>236486000000</v>
      </c>
      <c r="H15" s="111" t="s">
        <v>873</v>
      </c>
      <c r="I15" s="111">
        <v>1</v>
      </c>
      <c r="J15" s="111" t="s">
        <v>874</v>
      </c>
      <c r="K15" s="111" t="s">
        <v>875</v>
      </c>
      <c r="L15" s="111" t="s">
        <v>876</v>
      </c>
      <c r="M15" s="113">
        <v>9900000</v>
      </c>
      <c r="N15" s="111" t="s">
        <v>877</v>
      </c>
      <c r="O15" s="114">
        <v>41610</v>
      </c>
      <c r="P15" s="114">
        <v>41639</v>
      </c>
      <c r="Q15" s="114">
        <v>41639</v>
      </c>
      <c r="R15" s="111" t="s">
        <v>878</v>
      </c>
      <c r="S15" s="113">
        <v>9900000</v>
      </c>
      <c r="T15" s="111" t="s">
        <v>879</v>
      </c>
      <c r="U15" s="115">
        <v>9900000</v>
      </c>
      <c r="V15" s="113">
        <v>3960000</v>
      </c>
      <c r="W15" s="113">
        <v>2970000</v>
      </c>
      <c r="X15" s="113">
        <v>2970000</v>
      </c>
      <c r="Y15" s="113"/>
      <c r="Z15" s="113"/>
      <c r="AA15" s="113"/>
      <c r="AB15" s="113"/>
      <c r="AC15" s="113"/>
      <c r="AD15" s="113"/>
      <c r="AE15" s="113"/>
      <c r="AF15" s="113"/>
      <c r="AG15" s="113">
        <f>SUM(V15:AF15)</f>
        <v>9900000</v>
      </c>
      <c r="AH15" s="111" t="s">
        <v>237</v>
      </c>
      <c r="AI15" s="111" t="s">
        <v>880</v>
      </c>
      <c r="AJ15" s="111" t="s">
        <v>881</v>
      </c>
      <c r="AK15" s="111" t="s">
        <v>882</v>
      </c>
      <c r="AL15" s="111" t="s">
        <v>883</v>
      </c>
      <c r="AM15" s="111">
        <v>100</v>
      </c>
      <c r="AN15" s="111">
        <v>100</v>
      </c>
      <c r="AO15" s="3"/>
    </row>
    <row r="16" spans="1:41" ht="120" x14ac:dyDescent="0.25">
      <c r="A16" s="239">
        <v>4</v>
      </c>
      <c r="B16" s="239"/>
      <c r="C16" s="239"/>
      <c r="D16" s="239">
        <v>2011</v>
      </c>
      <c r="E16" s="239" t="s">
        <v>884</v>
      </c>
      <c r="F16" s="239" t="s">
        <v>885</v>
      </c>
      <c r="G16" s="118">
        <v>90000000</v>
      </c>
      <c r="H16" s="239" t="s">
        <v>886</v>
      </c>
      <c r="I16" s="239">
        <v>1</v>
      </c>
      <c r="J16" s="239" t="s">
        <v>887</v>
      </c>
      <c r="K16" s="239" t="s">
        <v>888</v>
      </c>
      <c r="L16" s="239" t="s">
        <v>889</v>
      </c>
      <c r="M16" s="119">
        <v>77690000</v>
      </c>
      <c r="N16" s="239" t="s">
        <v>303</v>
      </c>
      <c r="O16" s="120">
        <v>40877</v>
      </c>
      <c r="P16" s="120">
        <v>41120</v>
      </c>
      <c r="Q16" s="120">
        <v>41120</v>
      </c>
      <c r="R16" s="239" t="s">
        <v>890</v>
      </c>
      <c r="S16" s="119">
        <v>77690000</v>
      </c>
      <c r="T16" s="239" t="s">
        <v>891</v>
      </c>
      <c r="U16" s="121">
        <v>77690000</v>
      </c>
      <c r="V16" s="119">
        <v>38845000</v>
      </c>
      <c r="W16" s="119"/>
      <c r="X16" s="119"/>
      <c r="Y16" s="119"/>
      <c r="Z16" s="119"/>
      <c r="AA16" s="119"/>
      <c r="AB16" s="119"/>
      <c r="AC16" s="119"/>
      <c r="AD16" s="119"/>
      <c r="AE16" s="119"/>
      <c r="AF16" s="119"/>
      <c r="AG16" s="119">
        <f>SUM(V16:AF16)</f>
        <v>38845000</v>
      </c>
      <c r="AH16" s="239" t="s">
        <v>892</v>
      </c>
      <c r="AI16" s="239" t="s">
        <v>893</v>
      </c>
      <c r="AJ16" s="239" t="s">
        <v>894</v>
      </c>
      <c r="AK16" s="239"/>
      <c r="AL16" s="239"/>
      <c r="AM16" s="239">
        <v>15.7</v>
      </c>
      <c r="AN16" s="123">
        <f>(AG16*100)/M16</f>
        <v>50</v>
      </c>
      <c r="AO16" s="3" t="s">
        <v>906</v>
      </c>
    </row>
    <row r="17" spans="1:41" ht="120" x14ac:dyDescent="0.25">
      <c r="A17" s="236">
        <v>5</v>
      </c>
      <c r="B17" s="236" t="s">
        <v>390</v>
      </c>
      <c r="C17" s="236" t="s">
        <v>895</v>
      </c>
      <c r="D17" s="236">
        <v>2013</v>
      </c>
      <c r="E17" s="236" t="s">
        <v>896</v>
      </c>
      <c r="F17" s="236" t="s">
        <v>897</v>
      </c>
      <c r="G17" s="116">
        <v>388861227</v>
      </c>
      <c r="H17" s="236" t="s">
        <v>898</v>
      </c>
      <c r="I17" s="236">
        <v>1</v>
      </c>
      <c r="J17" s="236" t="s">
        <v>899</v>
      </c>
      <c r="K17" s="236" t="s">
        <v>900</v>
      </c>
      <c r="L17" s="236" t="s">
        <v>901</v>
      </c>
      <c r="M17" s="26">
        <v>233074149.03999999</v>
      </c>
      <c r="N17" s="236" t="s">
        <v>350</v>
      </c>
      <c r="O17" s="25">
        <v>41627</v>
      </c>
      <c r="P17" s="25">
        <v>41747</v>
      </c>
      <c r="Q17" s="25"/>
      <c r="R17" s="236" t="s">
        <v>902</v>
      </c>
      <c r="S17" s="26">
        <v>47199993.539999999</v>
      </c>
      <c r="T17" s="236" t="s">
        <v>860</v>
      </c>
      <c r="U17" s="27"/>
      <c r="V17" s="26">
        <v>46614829.810000002</v>
      </c>
      <c r="W17" s="26"/>
      <c r="X17" s="26"/>
      <c r="Y17" s="26"/>
      <c r="Z17" s="26"/>
      <c r="AA17" s="26"/>
      <c r="AB17" s="26"/>
      <c r="AC17" s="26"/>
      <c r="AD17" s="26"/>
      <c r="AE17" s="26"/>
      <c r="AF17" s="26"/>
      <c r="AG17" s="26">
        <f>SUM(V17:AF17)</f>
        <v>46614829.810000002</v>
      </c>
      <c r="AH17" s="236" t="s">
        <v>265</v>
      </c>
      <c r="AI17" s="236" t="s">
        <v>903</v>
      </c>
      <c r="AJ17" s="236" t="s">
        <v>904</v>
      </c>
      <c r="AK17" s="236" t="s">
        <v>905</v>
      </c>
      <c r="AL17" s="236"/>
      <c r="AM17" s="236">
        <v>50</v>
      </c>
      <c r="AN17" s="122">
        <f>(AG17*100)/M17</f>
        <v>20.000000000858098</v>
      </c>
      <c r="AO17" s="3"/>
    </row>
    <row r="18" spans="1:41" ht="60" x14ac:dyDescent="0.25">
      <c r="A18" s="278">
        <v>6</v>
      </c>
      <c r="B18" s="278" t="s">
        <v>844</v>
      </c>
      <c r="C18" s="279" t="s">
        <v>1350</v>
      </c>
      <c r="D18" s="278">
        <v>2013</v>
      </c>
      <c r="E18" s="279" t="s">
        <v>1349</v>
      </c>
      <c r="F18" s="279" t="s">
        <v>1347</v>
      </c>
      <c r="G18" s="280">
        <v>249210000</v>
      </c>
      <c r="H18" s="279" t="s">
        <v>1348</v>
      </c>
      <c r="I18" s="91"/>
      <c r="J18" s="91"/>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6" t="s">
        <v>1347</v>
      </c>
      <c r="AL18" s="91"/>
      <c r="AM18" s="91"/>
      <c r="AN18" s="91"/>
    </row>
    <row r="23" spans="1:41" x14ac:dyDescent="0.25">
      <c r="G23">
        <f>1300000+4000000+2900000+500000</f>
        <v>8700000</v>
      </c>
    </row>
    <row r="25" spans="1:41" x14ac:dyDescent="0.25">
      <c r="M25" t="s">
        <v>1367</v>
      </c>
    </row>
  </sheetData>
  <mergeCells count="21">
    <mergeCell ref="I3:AJ3"/>
    <mergeCell ref="AK3:AN3"/>
    <mergeCell ref="A10:A13"/>
    <mergeCell ref="B10:B13"/>
    <mergeCell ref="C10:C13"/>
    <mergeCell ref="D10:D13"/>
    <mergeCell ref="E10:E13"/>
    <mergeCell ref="F10:F13"/>
    <mergeCell ref="G10:G13"/>
    <mergeCell ref="H10:H13"/>
    <mergeCell ref="A5:A8"/>
    <mergeCell ref="B5:B8"/>
    <mergeCell ref="C5:C8"/>
    <mergeCell ref="D5:D8"/>
    <mergeCell ref="E5:E8"/>
    <mergeCell ref="F5:F8"/>
    <mergeCell ref="G5:G8"/>
    <mergeCell ref="H5:H8"/>
    <mergeCell ref="A3:A4"/>
    <mergeCell ref="B3:E3"/>
    <mergeCell ref="F3:H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78"/>
  <sheetViews>
    <sheetView topLeftCell="A70" zoomScale="60" zoomScaleNormal="60" zoomScaleSheetLayoutView="98" workbookViewId="0">
      <selection activeCell="A4" sqref="A4:AN78"/>
    </sheetView>
  </sheetViews>
  <sheetFormatPr baseColWidth="10" defaultRowHeight="15" x14ac:dyDescent="0.25"/>
  <cols>
    <col min="2" max="2" width="15.42578125" customWidth="1"/>
    <col min="3" max="3" width="19.140625" customWidth="1"/>
    <col min="5" max="5" width="21.140625" customWidth="1"/>
    <col min="6" max="6" width="27.7109375" customWidth="1"/>
    <col min="7" max="7" width="24.28515625" customWidth="1"/>
    <col min="8" max="8" width="15.7109375" customWidth="1"/>
    <col min="11" max="11" width="17.42578125" customWidth="1"/>
    <col min="12" max="12" width="82.28515625" customWidth="1"/>
    <col min="13" max="13" width="21.42578125" customWidth="1"/>
    <col min="14" max="14" width="21" customWidth="1"/>
    <col min="15" max="15" width="19.85546875" customWidth="1"/>
    <col min="16" max="16" width="13.42578125" customWidth="1"/>
    <col min="17" max="17" width="12.7109375" customWidth="1"/>
    <col min="19" max="19" width="20" customWidth="1"/>
    <col min="21" max="21" width="23" customWidth="1"/>
    <col min="22" max="22" width="18" customWidth="1"/>
    <col min="23" max="23" width="21.7109375" customWidth="1"/>
    <col min="24" max="24" width="19.85546875" customWidth="1"/>
    <col min="25" max="25" width="17.42578125" bestFit="1" customWidth="1"/>
    <col min="26" max="26" width="21.42578125" customWidth="1"/>
    <col min="27" max="27" width="18.28515625" customWidth="1"/>
    <col min="28" max="28" width="13.28515625" customWidth="1"/>
    <col min="29" max="29" width="13.5703125" bestFit="1" customWidth="1"/>
    <col min="30" max="30" width="17.42578125" bestFit="1" customWidth="1"/>
    <col min="33" max="33" width="23.140625" customWidth="1"/>
    <col min="34" max="34" width="16.42578125" customWidth="1"/>
    <col min="35" max="35" width="26.85546875" customWidth="1"/>
    <col min="36" max="36" width="47.140625" customWidth="1"/>
    <col min="37" max="37" width="58.42578125" customWidth="1"/>
    <col min="38" max="38" width="57" customWidth="1"/>
    <col min="39" max="39" width="13" bestFit="1" customWidth="1"/>
    <col min="40" max="40" width="13" customWidth="1"/>
  </cols>
  <sheetData>
    <row r="1" spans="1:40" ht="15.75" thickBot="1" x14ac:dyDescent="0.3"/>
    <row r="2" spans="1:40" ht="16.5" thickBot="1" x14ac:dyDescent="0.3">
      <c r="A2" s="1035" t="s">
        <v>721</v>
      </c>
      <c r="B2" s="1078" t="s">
        <v>79</v>
      </c>
      <c r="C2" s="1078"/>
      <c r="D2" s="1078"/>
      <c r="E2" s="1079"/>
      <c r="F2" s="1080" t="s">
        <v>80</v>
      </c>
      <c r="G2" s="1078"/>
      <c r="H2" s="1079"/>
      <c r="I2" s="1077" t="s">
        <v>81</v>
      </c>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9"/>
      <c r="AK2" s="1080" t="s">
        <v>80</v>
      </c>
      <c r="AL2" s="1078"/>
      <c r="AM2" s="1078"/>
      <c r="AN2" s="1079"/>
    </row>
    <row r="3" spans="1:40" ht="38.25" x14ac:dyDescent="0.25">
      <c r="A3" s="1035"/>
      <c r="B3" s="132" t="s">
        <v>0</v>
      </c>
      <c r="C3" s="22" t="s">
        <v>6</v>
      </c>
      <c r="D3" s="22" t="s">
        <v>1</v>
      </c>
      <c r="E3" s="22" t="s">
        <v>2</v>
      </c>
      <c r="F3" s="22" t="s">
        <v>3</v>
      </c>
      <c r="G3" s="133" t="s">
        <v>4</v>
      </c>
      <c r="H3" s="22" t="s">
        <v>5</v>
      </c>
      <c r="I3" s="134" t="s">
        <v>721</v>
      </c>
      <c r="J3" s="22" t="s">
        <v>7</v>
      </c>
      <c r="K3" s="22" t="s">
        <v>8</v>
      </c>
      <c r="L3" s="22" t="s">
        <v>9</v>
      </c>
      <c r="M3" s="130" t="s">
        <v>11</v>
      </c>
      <c r="N3" s="22" t="s">
        <v>10</v>
      </c>
      <c r="O3" s="22" t="s">
        <v>12</v>
      </c>
      <c r="P3" s="22" t="s">
        <v>13</v>
      </c>
      <c r="Q3" s="22" t="s">
        <v>14</v>
      </c>
      <c r="R3" s="22" t="s">
        <v>15</v>
      </c>
      <c r="S3" s="130" t="s">
        <v>28</v>
      </c>
      <c r="T3" s="22" t="s">
        <v>16</v>
      </c>
      <c r="U3" s="131" t="s">
        <v>133</v>
      </c>
      <c r="V3" s="130" t="s">
        <v>263</v>
      </c>
      <c r="W3" s="130" t="s">
        <v>17</v>
      </c>
      <c r="X3" s="130" t="s">
        <v>18</v>
      </c>
      <c r="Y3" s="130" t="s">
        <v>280</v>
      </c>
      <c r="Z3" s="130" t="s">
        <v>281</v>
      </c>
      <c r="AA3" s="130" t="s">
        <v>282</v>
      </c>
      <c r="AB3" s="130" t="s">
        <v>283</v>
      </c>
      <c r="AC3" s="130" t="s">
        <v>284</v>
      </c>
      <c r="AD3" s="130" t="s">
        <v>285</v>
      </c>
      <c r="AE3" s="130" t="s">
        <v>286</v>
      </c>
      <c r="AF3" s="130" t="s">
        <v>287</v>
      </c>
      <c r="AG3" s="130" t="s">
        <v>19</v>
      </c>
      <c r="AH3" s="22" t="s">
        <v>20</v>
      </c>
      <c r="AI3" s="22" t="s">
        <v>21</v>
      </c>
      <c r="AJ3" s="22" t="s">
        <v>22</v>
      </c>
      <c r="AK3" s="22" t="s">
        <v>23</v>
      </c>
      <c r="AL3" s="22" t="s">
        <v>24</v>
      </c>
      <c r="AM3" s="23" t="s">
        <v>33</v>
      </c>
      <c r="AN3" s="24" t="s">
        <v>32</v>
      </c>
    </row>
    <row r="4" spans="1:40" ht="133.5" customHeight="1" x14ac:dyDescent="0.25">
      <c r="A4" s="1081">
        <v>1</v>
      </c>
      <c r="B4" s="1081" t="s">
        <v>390</v>
      </c>
      <c r="C4" s="1081" t="s">
        <v>1351</v>
      </c>
      <c r="D4" s="1081">
        <v>2013</v>
      </c>
      <c r="E4" s="1081" t="s">
        <v>1373</v>
      </c>
      <c r="F4" s="1081" t="s">
        <v>1042</v>
      </c>
      <c r="G4" s="1082">
        <v>225000000</v>
      </c>
      <c r="H4" s="1081" t="s">
        <v>1043</v>
      </c>
      <c r="I4" s="135">
        <v>1</v>
      </c>
      <c r="J4" s="135" t="s">
        <v>1362</v>
      </c>
      <c r="K4" s="135" t="s">
        <v>913</v>
      </c>
      <c r="L4" s="263" t="s">
        <v>1308</v>
      </c>
      <c r="M4" s="136">
        <v>60000000</v>
      </c>
      <c r="N4" s="135" t="s">
        <v>350</v>
      </c>
      <c r="O4" s="137">
        <v>41492</v>
      </c>
      <c r="P4" s="137">
        <v>41639</v>
      </c>
      <c r="Q4" s="137">
        <v>41639</v>
      </c>
      <c r="R4" s="135" t="s">
        <v>908</v>
      </c>
      <c r="S4" s="136">
        <v>60000000</v>
      </c>
      <c r="T4" s="135" t="s">
        <v>909</v>
      </c>
      <c r="U4" s="136">
        <v>60000000</v>
      </c>
      <c r="V4" s="136"/>
      <c r="W4" s="136">
        <v>60000000</v>
      </c>
      <c r="X4" s="136"/>
      <c r="Y4" s="136"/>
      <c r="Z4" s="136"/>
      <c r="AA4" s="136"/>
      <c r="AB4" s="136"/>
      <c r="AC4" s="136"/>
      <c r="AD4" s="136"/>
      <c r="AE4" s="136"/>
      <c r="AF4" s="136"/>
      <c r="AG4" s="136">
        <f>SUM(W4:AF4)</f>
        <v>60000000</v>
      </c>
      <c r="AH4" s="135" t="s">
        <v>237</v>
      </c>
      <c r="AI4" s="135" t="s">
        <v>910</v>
      </c>
      <c r="AJ4" s="135" t="s">
        <v>998</v>
      </c>
      <c r="AK4" s="135" t="s">
        <v>911</v>
      </c>
      <c r="AL4" s="135" t="s">
        <v>1301</v>
      </c>
      <c r="AM4" s="135">
        <v>100</v>
      </c>
      <c r="AN4" s="163">
        <f t="shared" ref="AN4:AN16" si="0">(AG4*100)/U4</f>
        <v>100</v>
      </c>
    </row>
    <row r="5" spans="1:40" ht="153" customHeight="1" x14ac:dyDescent="0.25">
      <c r="A5" s="1081"/>
      <c r="B5" s="1081"/>
      <c r="C5" s="1081"/>
      <c r="D5" s="1081"/>
      <c r="E5" s="1081"/>
      <c r="F5" s="1081"/>
      <c r="G5" s="1082"/>
      <c r="H5" s="1081"/>
      <c r="I5" s="135">
        <v>2</v>
      </c>
      <c r="J5" s="135" t="s">
        <v>912</v>
      </c>
      <c r="K5" s="135" t="s">
        <v>914</v>
      </c>
      <c r="L5" s="264" t="s">
        <v>1309</v>
      </c>
      <c r="M5" s="136">
        <v>30000000</v>
      </c>
      <c r="N5" s="135" t="s">
        <v>350</v>
      </c>
      <c r="O5" s="137">
        <v>41492</v>
      </c>
      <c r="P5" s="137">
        <v>41639</v>
      </c>
      <c r="Q5" s="137"/>
      <c r="R5" s="135" t="s">
        <v>915</v>
      </c>
      <c r="S5" s="136">
        <v>23000000</v>
      </c>
      <c r="T5" s="135" t="s">
        <v>916</v>
      </c>
      <c r="U5" s="136">
        <v>23000000</v>
      </c>
      <c r="V5" s="136"/>
      <c r="W5" s="136">
        <f>U5*26.25%</f>
        <v>6037500</v>
      </c>
      <c r="X5" s="136"/>
      <c r="Y5" s="136"/>
      <c r="Z5" s="136"/>
      <c r="AA5" s="136"/>
      <c r="AB5" s="136"/>
      <c r="AC5" s="136"/>
      <c r="AD5" s="136"/>
      <c r="AE5" s="136"/>
      <c r="AF5" s="136"/>
      <c r="AG5" s="136">
        <f t="shared" ref="AG5:AG16" si="1">SUM(W5:AF5)</f>
        <v>6037500</v>
      </c>
      <c r="AH5" s="135" t="s">
        <v>917</v>
      </c>
      <c r="AI5" s="135" t="s">
        <v>910</v>
      </c>
      <c r="AJ5" s="135" t="s">
        <v>919</v>
      </c>
      <c r="AK5" s="135" t="s">
        <v>918</v>
      </c>
      <c r="AL5" s="135" t="s">
        <v>918</v>
      </c>
      <c r="AM5" s="135">
        <v>26.25</v>
      </c>
      <c r="AN5" s="163">
        <f t="shared" si="0"/>
        <v>26.25</v>
      </c>
    </row>
    <row r="6" spans="1:40" ht="117" customHeight="1" x14ac:dyDescent="0.25">
      <c r="A6" s="1081"/>
      <c r="B6" s="1081"/>
      <c r="C6" s="1081"/>
      <c r="D6" s="1081"/>
      <c r="E6" s="1081"/>
      <c r="F6" s="1081"/>
      <c r="G6" s="1082"/>
      <c r="H6" s="1081"/>
      <c r="I6" s="135">
        <v>3</v>
      </c>
      <c r="J6" s="135" t="s">
        <v>1363</v>
      </c>
      <c r="K6" s="135" t="s">
        <v>921</v>
      </c>
      <c r="L6" s="263" t="s">
        <v>1310</v>
      </c>
      <c r="M6" s="136">
        <v>53000000</v>
      </c>
      <c r="N6" s="135" t="s">
        <v>350</v>
      </c>
      <c r="O6" s="137">
        <v>41498</v>
      </c>
      <c r="P6" s="137">
        <v>41639</v>
      </c>
      <c r="Q6" s="137"/>
      <c r="R6" s="135" t="s">
        <v>922</v>
      </c>
      <c r="S6" s="136">
        <v>53000000</v>
      </c>
      <c r="T6" s="135" t="s">
        <v>923</v>
      </c>
      <c r="U6" s="136">
        <v>53000000</v>
      </c>
      <c r="V6" s="136"/>
      <c r="W6" s="136">
        <v>17000000</v>
      </c>
      <c r="X6" s="136">
        <v>17000000</v>
      </c>
      <c r="Y6" s="136">
        <v>19000000</v>
      </c>
      <c r="Z6" s="136"/>
      <c r="AA6" s="136"/>
      <c r="AB6" s="136"/>
      <c r="AC6" s="136"/>
      <c r="AD6" s="136"/>
      <c r="AE6" s="136"/>
      <c r="AF6" s="136"/>
      <c r="AG6" s="136">
        <f t="shared" si="1"/>
        <v>53000000</v>
      </c>
      <c r="AH6" s="135" t="s">
        <v>237</v>
      </c>
      <c r="AI6" s="135" t="s">
        <v>910</v>
      </c>
      <c r="AJ6" s="135" t="s">
        <v>925</v>
      </c>
      <c r="AK6" s="135" t="s">
        <v>924</v>
      </c>
      <c r="AL6" s="135" t="s">
        <v>924</v>
      </c>
      <c r="AM6" s="135">
        <v>100</v>
      </c>
      <c r="AN6" s="163">
        <f t="shared" si="0"/>
        <v>100</v>
      </c>
    </row>
    <row r="7" spans="1:40" ht="180" customHeight="1" x14ac:dyDescent="0.25">
      <c r="A7" s="1081"/>
      <c r="B7" s="1081"/>
      <c r="C7" s="1081"/>
      <c r="D7" s="1081"/>
      <c r="E7" s="1081"/>
      <c r="F7" s="1081"/>
      <c r="G7" s="1082"/>
      <c r="H7" s="1081"/>
      <c r="I7" s="135">
        <v>4</v>
      </c>
      <c r="J7" s="135" t="s">
        <v>926</v>
      </c>
      <c r="K7" s="135" t="s">
        <v>927</v>
      </c>
      <c r="L7" s="264" t="s">
        <v>1311</v>
      </c>
      <c r="M7" s="136">
        <v>14400000</v>
      </c>
      <c r="N7" s="135" t="s">
        <v>457</v>
      </c>
      <c r="O7" s="137">
        <v>41506</v>
      </c>
      <c r="P7" s="137">
        <v>41639</v>
      </c>
      <c r="Q7" s="137"/>
      <c r="R7" s="135" t="s">
        <v>928</v>
      </c>
      <c r="S7" s="136">
        <v>50000000</v>
      </c>
      <c r="T7" s="135" t="s">
        <v>929</v>
      </c>
      <c r="U7" s="136">
        <v>20400000</v>
      </c>
      <c r="V7" s="136"/>
      <c r="W7" s="136">
        <v>2400000</v>
      </c>
      <c r="X7" s="136">
        <v>3000000</v>
      </c>
      <c r="Y7" s="136">
        <v>1350500</v>
      </c>
      <c r="Z7" s="136"/>
      <c r="AA7" s="136"/>
      <c r="AB7" s="136"/>
      <c r="AC7" s="136"/>
      <c r="AD7" s="136"/>
      <c r="AE7" s="136"/>
      <c r="AF7" s="136"/>
      <c r="AG7" s="136">
        <f t="shared" si="1"/>
        <v>6750500</v>
      </c>
      <c r="AH7" s="135"/>
      <c r="AI7" s="135" t="s">
        <v>930</v>
      </c>
      <c r="AJ7" s="135"/>
      <c r="AK7" s="135" t="s">
        <v>931</v>
      </c>
      <c r="AL7" s="135" t="s">
        <v>931</v>
      </c>
      <c r="AM7" s="135">
        <v>45</v>
      </c>
      <c r="AN7" s="163">
        <f t="shared" si="0"/>
        <v>33.090686274509807</v>
      </c>
    </row>
    <row r="8" spans="1:40" ht="177" customHeight="1" x14ac:dyDescent="0.25">
      <c r="A8" s="1081"/>
      <c r="B8" s="1081"/>
      <c r="C8" s="1081"/>
      <c r="D8" s="1081"/>
      <c r="E8" s="1081"/>
      <c r="F8" s="1081"/>
      <c r="G8" s="1082"/>
      <c r="H8" s="1081"/>
      <c r="I8" s="135">
        <v>5</v>
      </c>
      <c r="J8" s="135" t="s">
        <v>932</v>
      </c>
      <c r="K8" s="135" t="s">
        <v>933</v>
      </c>
      <c r="L8" s="264" t="s">
        <v>1312</v>
      </c>
      <c r="M8" s="136">
        <v>35000000</v>
      </c>
      <c r="N8" s="135" t="s">
        <v>934</v>
      </c>
      <c r="O8" s="137">
        <v>41501</v>
      </c>
      <c r="P8" s="137">
        <v>41639</v>
      </c>
      <c r="Q8" s="137"/>
      <c r="R8" s="135" t="s">
        <v>935</v>
      </c>
      <c r="S8" s="136">
        <v>21000000</v>
      </c>
      <c r="T8" s="135" t="s">
        <v>936</v>
      </c>
      <c r="U8" s="136">
        <v>21000000</v>
      </c>
      <c r="V8" s="136"/>
      <c r="W8" s="136">
        <v>7875000</v>
      </c>
      <c r="X8" s="136">
        <v>7875000</v>
      </c>
      <c r="Y8" s="136"/>
      <c r="Z8" s="136"/>
      <c r="AA8" s="136"/>
      <c r="AB8" s="136"/>
      <c r="AC8" s="136"/>
      <c r="AD8" s="136"/>
      <c r="AE8" s="136"/>
      <c r="AF8" s="136"/>
      <c r="AG8" s="136">
        <f t="shared" si="1"/>
        <v>15750000</v>
      </c>
      <c r="AH8" s="135"/>
      <c r="AI8" s="135" t="s">
        <v>910</v>
      </c>
      <c r="AJ8" s="135" t="s">
        <v>937</v>
      </c>
      <c r="AK8" s="135" t="s">
        <v>938</v>
      </c>
      <c r="AL8" s="135" t="s">
        <v>938</v>
      </c>
      <c r="AM8" s="135">
        <v>75</v>
      </c>
      <c r="AN8" s="163">
        <f t="shared" si="0"/>
        <v>75</v>
      </c>
    </row>
    <row r="9" spans="1:40" ht="162" customHeight="1" x14ac:dyDescent="0.25">
      <c r="A9" s="1081"/>
      <c r="B9" s="1081"/>
      <c r="C9" s="1081"/>
      <c r="D9" s="1081"/>
      <c r="E9" s="1081"/>
      <c r="F9" s="1081"/>
      <c r="G9" s="1082"/>
      <c r="H9" s="1081"/>
      <c r="I9" s="135">
        <v>6</v>
      </c>
      <c r="J9" s="135" t="s">
        <v>939</v>
      </c>
      <c r="K9" s="135" t="s">
        <v>940</v>
      </c>
      <c r="L9" s="263" t="s">
        <v>1317</v>
      </c>
      <c r="M9" s="136">
        <v>61900000</v>
      </c>
      <c r="N9" s="135" t="s">
        <v>350</v>
      </c>
      <c r="O9" s="137">
        <v>41502</v>
      </c>
      <c r="P9" s="137">
        <v>41639</v>
      </c>
      <c r="Q9" s="137">
        <v>41639</v>
      </c>
      <c r="R9" s="135" t="s">
        <v>941</v>
      </c>
      <c r="S9" s="136">
        <v>61900000</v>
      </c>
      <c r="T9" s="135" t="s">
        <v>942</v>
      </c>
      <c r="U9" s="136">
        <v>61900000</v>
      </c>
      <c r="V9" s="136"/>
      <c r="W9" s="136">
        <v>21046000</v>
      </c>
      <c r="X9" s="136">
        <v>40854000</v>
      </c>
      <c r="Y9" s="136"/>
      <c r="Z9" s="136"/>
      <c r="AA9" s="136"/>
      <c r="AB9" s="136"/>
      <c r="AC9" s="136"/>
      <c r="AD9" s="136"/>
      <c r="AE9" s="136"/>
      <c r="AF9" s="136"/>
      <c r="AG9" s="136">
        <f t="shared" si="1"/>
        <v>61900000</v>
      </c>
      <c r="AH9" s="135" t="s">
        <v>237</v>
      </c>
      <c r="AI9" s="135" t="s">
        <v>910</v>
      </c>
      <c r="AJ9" s="135" t="s">
        <v>943</v>
      </c>
      <c r="AK9" s="135" t="s">
        <v>945</v>
      </c>
      <c r="AL9" s="135" t="s">
        <v>945</v>
      </c>
      <c r="AM9" s="135">
        <v>100</v>
      </c>
      <c r="AN9" s="163">
        <f t="shared" si="0"/>
        <v>100</v>
      </c>
    </row>
    <row r="10" spans="1:40" ht="123" customHeight="1" x14ac:dyDescent="0.25">
      <c r="A10" s="1081"/>
      <c r="B10" s="1081"/>
      <c r="C10" s="1081"/>
      <c r="D10" s="1081"/>
      <c r="E10" s="1081"/>
      <c r="F10" s="1081"/>
      <c r="G10" s="1082"/>
      <c r="H10" s="1081"/>
      <c r="I10" s="135">
        <v>7</v>
      </c>
      <c r="J10" s="135" t="s">
        <v>946</v>
      </c>
      <c r="K10" s="135" t="s">
        <v>947</v>
      </c>
      <c r="L10" s="264" t="s">
        <v>1316</v>
      </c>
      <c r="M10" s="136">
        <v>14400000</v>
      </c>
      <c r="N10" s="135" t="s">
        <v>350</v>
      </c>
      <c r="O10" s="137">
        <v>41506</v>
      </c>
      <c r="P10" s="137">
        <v>41639</v>
      </c>
      <c r="Q10" s="137"/>
      <c r="R10" s="135" t="s">
        <v>928</v>
      </c>
      <c r="S10" s="136">
        <v>38400000</v>
      </c>
      <c r="T10" s="135" t="s">
        <v>950</v>
      </c>
      <c r="U10" s="136">
        <v>18000000</v>
      </c>
      <c r="V10" s="136"/>
      <c r="W10" s="136">
        <v>2400000</v>
      </c>
      <c r="X10" s="136">
        <v>3000000</v>
      </c>
      <c r="Y10" s="136">
        <v>3000000</v>
      </c>
      <c r="Z10" s="136"/>
      <c r="AA10" s="136"/>
      <c r="AB10" s="136"/>
      <c r="AC10" s="136"/>
      <c r="AD10" s="136"/>
      <c r="AE10" s="136"/>
      <c r="AF10" s="136"/>
      <c r="AG10" s="136">
        <f t="shared" si="1"/>
        <v>8400000</v>
      </c>
      <c r="AH10" s="135"/>
      <c r="AI10" s="135" t="s">
        <v>954</v>
      </c>
      <c r="AJ10" s="135" t="s">
        <v>953</v>
      </c>
      <c r="AK10" s="135" t="s">
        <v>944</v>
      </c>
      <c r="AL10" s="135" t="s">
        <v>1302</v>
      </c>
      <c r="AM10" s="135">
        <v>46</v>
      </c>
      <c r="AN10" s="163">
        <f t="shared" si="0"/>
        <v>46.666666666666664</v>
      </c>
    </row>
    <row r="11" spans="1:40" ht="130.5" customHeight="1" x14ac:dyDescent="0.25">
      <c r="A11" s="1081"/>
      <c r="B11" s="1081"/>
      <c r="C11" s="1081"/>
      <c r="D11" s="1081"/>
      <c r="E11" s="1081"/>
      <c r="F11" s="1081"/>
      <c r="G11" s="1082"/>
      <c r="H11" s="1081"/>
      <c r="I11" s="135">
        <v>8</v>
      </c>
      <c r="J11" s="135" t="s">
        <v>948</v>
      </c>
      <c r="K11" s="135" t="s">
        <v>949</v>
      </c>
      <c r="L11" s="264" t="s">
        <v>1318</v>
      </c>
      <c r="M11" s="136">
        <v>123800000</v>
      </c>
      <c r="N11" s="135" t="s">
        <v>350</v>
      </c>
      <c r="O11" s="137">
        <v>41513</v>
      </c>
      <c r="P11" s="137">
        <v>41639</v>
      </c>
      <c r="Q11" s="137"/>
      <c r="R11" s="135" t="s">
        <v>951</v>
      </c>
      <c r="S11" s="136">
        <v>116800000</v>
      </c>
      <c r="T11" s="135" t="s">
        <v>952</v>
      </c>
      <c r="U11" s="136">
        <v>116800000</v>
      </c>
      <c r="V11" s="136"/>
      <c r="W11" s="136">
        <v>31903920</v>
      </c>
      <c r="X11" s="136">
        <v>31903920</v>
      </c>
      <c r="Y11" s="136"/>
      <c r="Z11" s="136"/>
      <c r="AA11" s="136"/>
      <c r="AB11" s="136"/>
      <c r="AC11" s="136"/>
      <c r="AD11" s="136"/>
      <c r="AE11" s="136"/>
      <c r="AF11" s="136"/>
      <c r="AG11" s="136">
        <f t="shared" si="1"/>
        <v>63807840</v>
      </c>
      <c r="AH11" s="135"/>
      <c r="AI11" s="135" t="s">
        <v>954</v>
      </c>
      <c r="AJ11" s="135" t="s">
        <v>955</v>
      </c>
      <c r="AK11" s="135" t="s">
        <v>956</v>
      </c>
      <c r="AL11" s="135" t="s">
        <v>956</v>
      </c>
      <c r="AM11" s="135">
        <v>54.63</v>
      </c>
      <c r="AN11" s="163">
        <f t="shared" si="0"/>
        <v>54.63</v>
      </c>
    </row>
    <row r="12" spans="1:40" ht="129" customHeight="1" x14ac:dyDescent="0.25">
      <c r="A12" s="1081"/>
      <c r="B12" s="1081"/>
      <c r="C12" s="1081"/>
      <c r="D12" s="1081"/>
      <c r="E12" s="1081"/>
      <c r="F12" s="1081"/>
      <c r="G12" s="1082"/>
      <c r="H12" s="1081"/>
      <c r="I12" s="135">
        <v>9</v>
      </c>
      <c r="J12" s="135" t="s">
        <v>957</v>
      </c>
      <c r="K12" s="135" t="s">
        <v>966</v>
      </c>
      <c r="L12" s="263" t="s">
        <v>1319</v>
      </c>
      <c r="M12" s="136">
        <v>56000000</v>
      </c>
      <c r="N12" s="135"/>
      <c r="O12" s="138" t="s">
        <v>967</v>
      </c>
      <c r="P12" s="137"/>
      <c r="Q12" s="137"/>
      <c r="R12" s="135" t="s">
        <v>968</v>
      </c>
      <c r="S12" s="136">
        <v>21000000</v>
      </c>
      <c r="T12" s="135" t="s">
        <v>969</v>
      </c>
      <c r="U12" s="136">
        <v>21000000</v>
      </c>
      <c r="V12" s="136"/>
      <c r="W12" s="136"/>
      <c r="X12" s="136"/>
      <c r="Y12" s="136"/>
      <c r="Z12" s="136"/>
      <c r="AA12" s="136"/>
      <c r="AB12" s="136"/>
      <c r="AC12" s="136"/>
      <c r="AD12" s="136"/>
      <c r="AE12" s="136"/>
      <c r="AF12" s="136"/>
      <c r="AG12" s="136">
        <f t="shared" si="1"/>
        <v>0</v>
      </c>
      <c r="AH12" s="135"/>
      <c r="AI12" s="135" t="s">
        <v>910</v>
      </c>
      <c r="AJ12" s="135" t="s">
        <v>970</v>
      </c>
      <c r="AK12" s="135" t="s">
        <v>971</v>
      </c>
      <c r="AL12" s="135" t="s">
        <v>971</v>
      </c>
      <c r="AM12" s="135">
        <v>0</v>
      </c>
      <c r="AN12" s="163">
        <f t="shared" si="0"/>
        <v>0</v>
      </c>
    </row>
    <row r="13" spans="1:40" ht="109.5" customHeight="1" x14ac:dyDescent="0.25">
      <c r="A13" s="1081"/>
      <c r="B13" s="1081"/>
      <c r="C13" s="1081"/>
      <c r="D13" s="1081"/>
      <c r="E13" s="1081"/>
      <c r="F13" s="1081"/>
      <c r="G13" s="1082"/>
      <c r="H13" s="1081"/>
      <c r="I13" s="135">
        <v>10</v>
      </c>
      <c r="J13" s="135" t="s">
        <v>958</v>
      </c>
      <c r="K13" s="135" t="s">
        <v>965</v>
      </c>
      <c r="L13" s="264" t="s">
        <v>1313</v>
      </c>
      <c r="M13" s="136">
        <v>27899992</v>
      </c>
      <c r="N13" s="135" t="s">
        <v>350</v>
      </c>
      <c r="O13" s="137">
        <v>41514</v>
      </c>
      <c r="P13" s="137">
        <v>41639</v>
      </c>
      <c r="Q13" s="137"/>
      <c r="R13" s="135" t="s">
        <v>972</v>
      </c>
      <c r="S13" s="136">
        <v>20899992</v>
      </c>
      <c r="T13" s="135" t="s">
        <v>973</v>
      </c>
      <c r="U13" s="136">
        <v>20899992</v>
      </c>
      <c r="V13" s="136"/>
      <c r="W13" s="136">
        <f>U13*50.8%</f>
        <v>10617195.936000001</v>
      </c>
      <c r="X13" s="136"/>
      <c r="Y13" s="136"/>
      <c r="Z13" s="136"/>
      <c r="AA13" s="136"/>
      <c r="AB13" s="136"/>
      <c r="AC13" s="136"/>
      <c r="AD13" s="136"/>
      <c r="AE13" s="136"/>
      <c r="AF13" s="136"/>
      <c r="AG13" s="136">
        <f t="shared" si="1"/>
        <v>10617195.936000001</v>
      </c>
      <c r="AH13" s="135"/>
      <c r="AI13" s="135" t="s">
        <v>910</v>
      </c>
      <c r="AJ13" s="135" t="s">
        <v>975</v>
      </c>
      <c r="AK13" s="135" t="s">
        <v>974</v>
      </c>
      <c r="AL13" s="135" t="s">
        <v>974</v>
      </c>
      <c r="AM13" s="135">
        <v>50.8</v>
      </c>
      <c r="AN13" s="163">
        <f t="shared" si="0"/>
        <v>50.800000000000004</v>
      </c>
    </row>
    <row r="14" spans="1:40" ht="123" customHeight="1" x14ac:dyDescent="0.25">
      <c r="A14" s="1081"/>
      <c r="B14" s="1081"/>
      <c r="C14" s="1081"/>
      <c r="D14" s="1081"/>
      <c r="E14" s="1081"/>
      <c r="F14" s="1081"/>
      <c r="G14" s="1082"/>
      <c r="H14" s="1081"/>
      <c r="I14" s="135">
        <v>11</v>
      </c>
      <c r="J14" s="135" t="s">
        <v>959</v>
      </c>
      <c r="K14" s="135" t="s">
        <v>964</v>
      </c>
      <c r="L14" s="264" t="s">
        <v>1314</v>
      </c>
      <c r="M14" s="136">
        <v>57000000</v>
      </c>
      <c r="N14" s="135" t="s">
        <v>335</v>
      </c>
      <c r="O14" s="137">
        <v>41523</v>
      </c>
      <c r="P14" s="137">
        <v>41639</v>
      </c>
      <c r="Q14" s="137"/>
      <c r="R14" s="135" t="s">
        <v>976</v>
      </c>
      <c r="S14" s="136">
        <v>50000000</v>
      </c>
      <c r="T14" s="135" t="s">
        <v>977</v>
      </c>
      <c r="U14" s="136">
        <v>50000000</v>
      </c>
      <c r="V14" s="136"/>
      <c r="W14" s="136"/>
      <c r="X14" s="136"/>
      <c r="Y14" s="136"/>
      <c r="Z14" s="136"/>
      <c r="AA14" s="136"/>
      <c r="AB14" s="136"/>
      <c r="AC14" s="136"/>
      <c r="AD14" s="136"/>
      <c r="AE14" s="136"/>
      <c r="AF14" s="136"/>
      <c r="AG14" s="136">
        <f t="shared" si="1"/>
        <v>0</v>
      </c>
      <c r="AH14" s="135"/>
      <c r="AI14" s="135" t="s">
        <v>910</v>
      </c>
      <c r="AJ14" s="135" t="s">
        <v>982</v>
      </c>
      <c r="AK14" s="135" t="s">
        <v>978</v>
      </c>
      <c r="AL14" s="135" t="s">
        <v>978</v>
      </c>
      <c r="AM14" s="135">
        <v>0</v>
      </c>
      <c r="AN14" s="163">
        <f t="shared" si="0"/>
        <v>0</v>
      </c>
    </row>
    <row r="15" spans="1:40" ht="111.75" customHeight="1" x14ac:dyDescent="0.25">
      <c r="A15" s="1081"/>
      <c r="B15" s="1081"/>
      <c r="C15" s="1081"/>
      <c r="D15" s="1081"/>
      <c r="E15" s="1081"/>
      <c r="F15" s="1081"/>
      <c r="G15" s="1082"/>
      <c r="H15" s="1081"/>
      <c r="I15" s="135">
        <v>12</v>
      </c>
      <c r="J15" s="135" t="s">
        <v>960</v>
      </c>
      <c r="K15" s="135" t="s">
        <v>963</v>
      </c>
      <c r="L15" s="264" t="s">
        <v>1314</v>
      </c>
      <c r="M15" s="136">
        <v>53400000</v>
      </c>
      <c r="N15" s="135" t="s">
        <v>329</v>
      </c>
      <c r="O15" s="137">
        <v>41568</v>
      </c>
      <c r="P15" s="137">
        <v>41639</v>
      </c>
      <c r="Q15" s="137"/>
      <c r="R15" s="135" t="s">
        <v>979</v>
      </c>
      <c r="S15" s="136">
        <v>53400000</v>
      </c>
      <c r="T15" s="135" t="s">
        <v>980</v>
      </c>
      <c r="U15" s="136">
        <v>53400000</v>
      </c>
      <c r="V15" s="136"/>
      <c r="W15" s="136">
        <v>53400000</v>
      </c>
      <c r="X15" s="136"/>
      <c r="Y15" s="136"/>
      <c r="Z15" s="136"/>
      <c r="AA15" s="136"/>
      <c r="AB15" s="136"/>
      <c r="AC15" s="136"/>
      <c r="AD15" s="136"/>
      <c r="AE15" s="136"/>
      <c r="AF15" s="136"/>
      <c r="AG15" s="136">
        <f t="shared" si="1"/>
        <v>53400000</v>
      </c>
      <c r="AH15" s="135" t="s">
        <v>237</v>
      </c>
      <c r="AI15" s="135" t="s">
        <v>910</v>
      </c>
      <c r="AJ15" s="135" t="s">
        <v>983</v>
      </c>
      <c r="AK15" s="135" t="s">
        <v>981</v>
      </c>
      <c r="AL15" s="135" t="s">
        <v>981</v>
      </c>
      <c r="AM15" s="135">
        <v>100</v>
      </c>
      <c r="AN15" s="163">
        <f t="shared" si="0"/>
        <v>100</v>
      </c>
    </row>
    <row r="16" spans="1:40" ht="176.25" customHeight="1" x14ac:dyDescent="0.25">
      <c r="A16" s="1081"/>
      <c r="B16" s="1081"/>
      <c r="C16" s="1081"/>
      <c r="D16" s="1081"/>
      <c r="E16" s="1081"/>
      <c r="F16" s="1081"/>
      <c r="G16" s="1082"/>
      <c r="H16" s="1081"/>
      <c r="I16" s="135">
        <v>13</v>
      </c>
      <c r="J16" s="135" t="s">
        <v>961</v>
      </c>
      <c r="K16" s="135" t="s">
        <v>1364</v>
      </c>
      <c r="L16" s="264" t="s">
        <v>1315</v>
      </c>
      <c r="M16" s="136">
        <v>51000000</v>
      </c>
      <c r="N16" s="135"/>
      <c r="O16" s="138" t="s">
        <v>967</v>
      </c>
      <c r="P16" s="137"/>
      <c r="Q16" s="137"/>
      <c r="R16" s="135" t="s">
        <v>985</v>
      </c>
      <c r="S16" s="136">
        <v>51000000</v>
      </c>
      <c r="T16" s="135" t="s">
        <v>984</v>
      </c>
      <c r="U16" s="136">
        <v>51000000</v>
      </c>
      <c r="V16" s="136"/>
      <c r="W16" s="136"/>
      <c r="X16" s="136"/>
      <c r="Y16" s="136"/>
      <c r="Z16" s="136"/>
      <c r="AA16" s="136"/>
      <c r="AB16" s="136"/>
      <c r="AC16" s="136"/>
      <c r="AD16" s="136"/>
      <c r="AE16" s="136"/>
      <c r="AF16" s="136"/>
      <c r="AG16" s="136">
        <f t="shared" si="1"/>
        <v>0</v>
      </c>
      <c r="AH16" s="135"/>
      <c r="AI16" s="135" t="s">
        <v>910</v>
      </c>
      <c r="AJ16" s="135" t="s">
        <v>986</v>
      </c>
      <c r="AK16" s="135" t="s">
        <v>1304</v>
      </c>
      <c r="AL16" s="135" t="s">
        <v>1303</v>
      </c>
      <c r="AM16" s="135"/>
      <c r="AN16" s="163">
        <f t="shared" si="0"/>
        <v>0</v>
      </c>
    </row>
    <row r="17" spans="1:40" ht="24" customHeight="1" x14ac:dyDescent="0.25">
      <c r="A17" s="139"/>
      <c r="B17" s="139"/>
      <c r="C17" s="139"/>
      <c r="D17" s="139"/>
      <c r="E17" s="139"/>
      <c r="F17" s="139"/>
      <c r="G17" s="139"/>
      <c r="H17" s="139"/>
      <c r="I17" s="135"/>
      <c r="J17" s="135"/>
      <c r="K17" s="135"/>
      <c r="L17" s="135"/>
      <c r="M17" s="136">
        <f>SUM(M4:M16)</f>
        <v>637799992</v>
      </c>
      <c r="N17" s="135"/>
      <c r="O17" s="138"/>
      <c r="P17" s="137"/>
      <c r="Q17" s="137"/>
      <c r="R17" s="135"/>
      <c r="S17" s="136"/>
      <c r="T17" s="135"/>
      <c r="U17" s="136">
        <f>SUM(U4:U16)</f>
        <v>570399992</v>
      </c>
      <c r="V17" s="136"/>
      <c r="W17" s="136"/>
      <c r="X17" s="136"/>
      <c r="Y17" s="136"/>
      <c r="Z17" s="136"/>
      <c r="AA17" s="136"/>
      <c r="AB17" s="136"/>
      <c r="AC17" s="136"/>
      <c r="AD17" s="136"/>
      <c r="AE17" s="136"/>
      <c r="AF17" s="136"/>
      <c r="AG17" s="136">
        <f>SUM(AG4:AG16)</f>
        <v>339663035.93599999</v>
      </c>
      <c r="AH17" s="135"/>
      <c r="AI17" s="135"/>
      <c r="AJ17" s="135"/>
      <c r="AK17" s="135"/>
      <c r="AL17" s="135"/>
      <c r="AM17" s="135">
        <f>SUM(AM4:AM16)/13</f>
        <v>53.667692307692306</v>
      </c>
      <c r="AN17" s="135">
        <f>SUM(AN4:AN16)/13</f>
        <v>52.802873303167424</v>
      </c>
    </row>
    <row r="18" spans="1:40" ht="113.25" customHeight="1" x14ac:dyDescent="0.25">
      <c r="A18" s="1083">
        <v>2</v>
      </c>
      <c r="B18" s="1083" t="s">
        <v>390</v>
      </c>
      <c r="C18" s="1083" t="s">
        <v>1351</v>
      </c>
      <c r="D18" s="1083">
        <v>2013</v>
      </c>
      <c r="E18" s="1084" t="s">
        <v>1373</v>
      </c>
      <c r="F18" s="1084" t="s">
        <v>1045</v>
      </c>
      <c r="G18" s="1085">
        <v>369000000</v>
      </c>
      <c r="H18" s="1084" t="s">
        <v>1044</v>
      </c>
      <c r="I18" s="140">
        <v>1</v>
      </c>
      <c r="J18" s="140" t="s">
        <v>907</v>
      </c>
      <c r="K18" s="140" t="s">
        <v>991</v>
      </c>
      <c r="L18" s="265" t="s">
        <v>1320</v>
      </c>
      <c r="M18" s="141">
        <v>55000000</v>
      </c>
      <c r="N18" s="142" t="s">
        <v>350</v>
      </c>
      <c r="O18" s="143">
        <v>41492</v>
      </c>
      <c r="P18" s="143">
        <v>41639</v>
      </c>
      <c r="Q18" s="143">
        <v>41639</v>
      </c>
      <c r="R18" s="140" t="s">
        <v>996</v>
      </c>
      <c r="S18" s="144">
        <f>90000000+150000000</f>
        <v>240000000</v>
      </c>
      <c r="T18" s="140" t="s">
        <v>997</v>
      </c>
      <c r="U18" s="144">
        <v>55000000</v>
      </c>
      <c r="V18" s="144"/>
      <c r="W18" s="144">
        <f>U18*0.29</f>
        <v>15949999.999999998</v>
      </c>
      <c r="X18" s="144">
        <f>U18*0.463</f>
        <v>25465000</v>
      </c>
      <c r="Y18" s="144">
        <f>U18*0.247</f>
        <v>13585000</v>
      </c>
      <c r="Z18" s="144"/>
      <c r="AA18" s="144"/>
      <c r="AB18" s="144"/>
      <c r="AC18" s="144"/>
      <c r="AD18" s="144"/>
      <c r="AE18" s="144"/>
      <c r="AF18" s="144"/>
      <c r="AG18" s="144">
        <f>SUM(V18:AF18)</f>
        <v>55000000</v>
      </c>
      <c r="AH18" s="142" t="s">
        <v>237</v>
      </c>
      <c r="AI18" s="140" t="s">
        <v>910</v>
      </c>
      <c r="AJ18" s="140" t="s">
        <v>999</v>
      </c>
      <c r="AK18" s="140" t="s">
        <v>1000</v>
      </c>
      <c r="AL18" s="140" t="s">
        <v>1305</v>
      </c>
      <c r="AM18" s="142">
        <v>100</v>
      </c>
      <c r="AN18" s="145">
        <f>(AG18*100)/U18</f>
        <v>100</v>
      </c>
    </row>
    <row r="19" spans="1:40" ht="135" customHeight="1" x14ac:dyDescent="0.25">
      <c r="A19" s="1083"/>
      <c r="B19" s="1083"/>
      <c r="C19" s="1083"/>
      <c r="D19" s="1083"/>
      <c r="E19" s="1084"/>
      <c r="F19" s="1084"/>
      <c r="G19" s="1086"/>
      <c r="H19" s="1083"/>
      <c r="I19" s="140">
        <v>2</v>
      </c>
      <c r="J19" s="140" t="s">
        <v>912</v>
      </c>
      <c r="K19" s="140" t="s">
        <v>992</v>
      </c>
      <c r="L19" s="266" t="s">
        <v>1309</v>
      </c>
      <c r="M19" s="141">
        <v>30000000</v>
      </c>
      <c r="N19" s="142" t="s">
        <v>350</v>
      </c>
      <c r="O19" s="143">
        <v>41492</v>
      </c>
      <c r="P19" s="143">
        <v>41639</v>
      </c>
      <c r="Q19" s="143"/>
      <c r="R19" s="140" t="s">
        <v>1001</v>
      </c>
      <c r="S19" s="144">
        <v>90000000</v>
      </c>
      <c r="T19" s="140" t="s">
        <v>1002</v>
      </c>
      <c r="U19" s="144">
        <v>30000000</v>
      </c>
      <c r="V19" s="144"/>
      <c r="W19" s="144">
        <f>U19*45%</f>
        <v>13500000</v>
      </c>
      <c r="X19" s="144"/>
      <c r="Y19" s="144"/>
      <c r="Z19" s="144"/>
      <c r="AA19" s="144"/>
      <c r="AB19" s="144"/>
      <c r="AC19" s="144"/>
      <c r="AD19" s="144"/>
      <c r="AE19" s="144"/>
      <c r="AF19" s="144"/>
      <c r="AG19" s="144">
        <f>SUM(V19:AF19)</f>
        <v>13500000</v>
      </c>
      <c r="AH19" s="142"/>
      <c r="AI19" s="140" t="s">
        <v>910</v>
      </c>
      <c r="AJ19" s="140" t="s">
        <v>1003</v>
      </c>
      <c r="AK19" s="140" t="s">
        <v>1306</v>
      </c>
      <c r="AL19" s="140" t="s">
        <v>1306</v>
      </c>
      <c r="AM19" s="142">
        <v>45</v>
      </c>
      <c r="AN19" s="145">
        <f>(AG19*100)/U19</f>
        <v>45</v>
      </c>
    </row>
    <row r="20" spans="1:40" ht="75" x14ac:dyDescent="0.25">
      <c r="A20" s="1083"/>
      <c r="B20" s="1083"/>
      <c r="C20" s="1083"/>
      <c r="D20" s="1083"/>
      <c r="E20" s="1084"/>
      <c r="F20" s="1084"/>
      <c r="G20" s="1086"/>
      <c r="H20" s="1083"/>
      <c r="I20" s="140">
        <v>3</v>
      </c>
      <c r="J20" s="140" t="s">
        <v>987</v>
      </c>
      <c r="K20" s="140" t="s">
        <v>993</v>
      </c>
      <c r="L20" s="140" t="s">
        <v>1321</v>
      </c>
      <c r="M20" s="141">
        <v>100000000</v>
      </c>
      <c r="N20" s="142" t="s">
        <v>457</v>
      </c>
      <c r="O20" s="143">
        <v>41498</v>
      </c>
      <c r="P20" s="143">
        <v>41650</v>
      </c>
      <c r="Q20" s="143"/>
      <c r="R20" s="140" t="s">
        <v>1004</v>
      </c>
      <c r="S20" s="144">
        <v>100000000</v>
      </c>
      <c r="T20" s="140" t="s">
        <v>1005</v>
      </c>
      <c r="U20" s="144">
        <v>100000000</v>
      </c>
      <c r="V20" s="144"/>
      <c r="W20" s="144"/>
      <c r="X20" s="144"/>
      <c r="Y20" s="144"/>
      <c r="Z20" s="144"/>
      <c r="AA20" s="144"/>
      <c r="AB20" s="144"/>
      <c r="AC20" s="144"/>
      <c r="AD20" s="144"/>
      <c r="AE20" s="144"/>
      <c r="AF20" s="144"/>
      <c r="AG20" s="144">
        <f t="shared" ref="AG20:AG42" si="2">SUM(V20:AF20)</f>
        <v>0</v>
      </c>
      <c r="AH20" s="142"/>
      <c r="AI20" s="140" t="s">
        <v>910</v>
      </c>
      <c r="AJ20" s="140" t="s">
        <v>1006</v>
      </c>
      <c r="AK20" s="140" t="s">
        <v>1007</v>
      </c>
      <c r="AL20" s="140" t="s">
        <v>1007</v>
      </c>
      <c r="AM20" s="142"/>
      <c r="AN20" s="145">
        <f t="shared" ref="AN20:AN27" si="3">(AG20*100)/U20</f>
        <v>0</v>
      </c>
    </row>
    <row r="21" spans="1:40" ht="90" x14ac:dyDescent="0.25">
      <c r="A21" s="1083"/>
      <c r="B21" s="1083"/>
      <c r="C21" s="1083"/>
      <c r="D21" s="1083"/>
      <c r="E21" s="1084"/>
      <c r="F21" s="1084"/>
      <c r="G21" s="1086"/>
      <c r="H21" s="1083"/>
      <c r="I21" s="140">
        <v>4</v>
      </c>
      <c r="J21" s="140" t="s">
        <v>988</v>
      </c>
      <c r="K21" s="140" t="s">
        <v>994</v>
      </c>
      <c r="L21" s="140" t="s">
        <v>1322</v>
      </c>
      <c r="M21" s="141">
        <v>25000000</v>
      </c>
      <c r="N21" s="142" t="s">
        <v>350</v>
      </c>
      <c r="O21" s="143">
        <v>41515</v>
      </c>
      <c r="P21" s="146">
        <v>41639</v>
      </c>
      <c r="Q21" s="146"/>
      <c r="R21" s="140" t="s">
        <v>1008</v>
      </c>
      <c r="S21" s="141">
        <v>150000000</v>
      </c>
      <c r="T21" s="140" t="s">
        <v>1009</v>
      </c>
      <c r="U21" s="144">
        <v>25000000</v>
      </c>
      <c r="V21" s="144"/>
      <c r="W21" s="144">
        <f>U21*43.75%</f>
        <v>10937500</v>
      </c>
      <c r="X21" s="144"/>
      <c r="Y21" s="144"/>
      <c r="Z21" s="144"/>
      <c r="AA21" s="144"/>
      <c r="AB21" s="144"/>
      <c r="AC21" s="144"/>
      <c r="AD21" s="144"/>
      <c r="AE21" s="144"/>
      <c r="AF21" s="144"/>
      <c r="AG21" s="144">
        <f t="shared" si="2"/>
        <v>10937500</v>
      </c>
      <c r="AH21" s="142"/>
      <c r="AI21" s="140" t="s">
        <v>910</v>
      </c>
      <c r="AJ21" s="140" t="s">
        <v>1010</v>
      </c>
      <c r="AK21" s="140" t="s">
        <v>1011</v>
      </c>
      <c r="AL21" s="140" t="s">
        <v>1011</v>
      </c>
      <c r="AM21" s="142">
        <v>43.75</v>
      </c>
      <c r="AN21" s="145">
        <f t="shared" si="3"/>
        <v>43.75</v>
      </c>
    </row>
    <row r="22" spans="1:40" ht="135" customHeight="1" x14ac:dyDescent="0.25">
      <c r="A22" s="1083"/>
      <c r="B22" s="1083"/>
      <c r="C22" s="1083"/>
      <c r="D22" s="1083"/>
      <c r="E22" s="1084"/>
      <c r="F22" s="1084"/>
      <c r="G22" s="1086"/>
      <c r="H22" s="1083"/>
      <c r="I22" s="140">
        <v>5</v>
      </c>
      <c r="J22" s="140" t="s">
        <v>989</v>
      </c>
      <c r="K22" s="140" t="s">
        <v>995</v>
      </c>
      <c r="L22" s="140" t="s">
        <v>1323</v>
      </c>
      <c r="M22" s="141">
        <v>29000000</v>
      </c>
      <c r="N22" s="142" t="s">
        <v>350</v>
      </c>
      <c r="O22" s="143">
        <v>41499</v>
      </c>
      <c r="P22" s="146">
        <v>41639</v>
      </c>
      <c r="Q22" s="146"/>
      <c r="R22" s="140" t="s">
        <v>1012</v>
      </c>
      <c r="S22" s="141">
        <v>29000000</v>
      </c>
      <c r="T22" s="140" t="s">
        <v>1013</v>
      </c>
      <c r="U22" s="144">
        <v>29000000</v>
      </c>
      <c r="V22" s="144"/>
      <c r="W22" s="144">
        <v>22750000</v>
      </c>
      <c r="X22" s="144">
        <v>6250000</v>
      </c>
      <c r="Y22" s="144"/>
      <c r="Z22" s="144"/>
      <c r="AA22" s="144"/>
      <c r="AB22" s="144"/>
      <c r="AC22" s="144"/>
      <c r="AD22" s="144"/>
      <c r="AE22" s="144"/>
      <c r="AF22" s="144"/>
      <c r="AG22" s="144">
        <f t="shared" si="2"/>
        <v>29000000</v>
      </c>
      <c r="AH22" s="142" t="s">
        <v>237</v>
      </c>
      <c r="AI22" s="140" t="s">
        <v>910</v>
      </c>
      <c r="AJ22" s="142"/>
      <c r="AK22" s="140" t="s">
        <v>1019</v>
      </c>
      <c r="AL22" s="140" t="s">
        <v>1019</v>
      </c>
      <c r="AM22" s="142">
        <v>100</v>
      </c>
      <c r="AN22" s="145">
        <f t="shared" si="3"/>
        <v>100</v>
      </c>
    </row>
    <row r="23" spans="1:40" ht="150" x14ac:dyDescent="0.25">
      <c r="A23" s="1083"/>
      <c r="B23" s="1083"/>
      <c r="C23" s="1083"/>
      <c r="D23" s="1083"/>
      <c r="E23" s="1084"/>
      <c r="F23" s="1084"/>
      <c r="G23" s="1086"/>
      <c r="H23" s="1083"/>
      <c r="I23" s="140">
        <v>6</v>
      </c>
      <c r="J23" s="140" t="s">
        <v>932</v>
      </c>
      <c r="K23" s="140" t="s">
        <v>933</v>
      </c>
      <c r="L23" s="140" t="s">
        <v>1312</v>
      </c>
      <c r="M23" s="141">
        <v>70000000</v>
      </c>
      <c r="N23" s="142" t="s">
        <v>350</v>
      </c>
      <c r="O23" s="143">
        <v>41501</v>
      </c>
      <c r="P23" s="146">
        <v>41639</v>
      </c>
      <c r="Q23" s="146"/>
      <c r="R23" s="140" t="s">
        <v>1014</v>
      </c>
      <c r="S23" s="141">
        <f>150000000+70000000</f>
        <v>220000000</v>
      </c>
      <c r="T23" s="140" t="s">
        <v>1015</v>
      </c>
      <c r="U23" s="144">
        <f>25000000+70000000</f>
        <v>95000000</v>
      </c>
      <c r="V23" s="144"/>
      <c r="W23" s="144">
        <v>0</v>
      </c>
      <c r="X23" s="144"/>
      <c r="Y23" s="144"/>
      <c r="Z23" s="144"/>
      <c r="AA23" s="144"/>
      <c r="AB23" s="144"/>
      <c r="AC23" s="144"/>
      <c r="AD23" s="144"/>
      <c r="AE23" s="144"/>
      <c r="AF23" s="144"/>
      <c r="AG23" s="144">
        <f t="shared" si="2"/>
        <v>0</v>
      </c>
      <c r="AH23" s="142"/>
      <c r="AI23" s="140" t="s">
        <v>910</v>
      </c>
      <c r="AJ23" s="140" t="s">
        <v>1021</v>
      </c>
      <c r="AK23" s="140" t="s">
        <v>1020</v>
      </c>
      <c r="AL23" s="140"/>
      <c r="AM23" s="142">
        <v>0</v>
      </c>
      <c r="AN23" s="145">
        <f t="shared" si="3"/>
        <v>0</v>
      </c>
    </row>
    <row r="24" spans="1:40" ht="113.25" customHeight="1" x14ac:dyDescent="0.25">
      <c r="A24" s="1083"/>
      <c r="B24" s="1083"/>
      <c r="C24" s="1083"/>
      <c r="D24" s="1083"/>
      <c r="E24" s="1084"/>
      <c r="F24" s="1084"/>
      <c r="G24" s="1086"/>
      <c r="H24" s="1083"/>
      <c r="I24" s="140">
        <v>7</v>
      </c>
      <c r="J24" s="140" t="s">
        <v>990</v>
      </c>
      <c r="K24" s="140" t="s">
        <v>940</v>
      </c>
      <c r="L24" s="140" t="s">
        <v>1317</v>
      </c>
      <c r="M24" s="141">
        <v>30000000</v>
      </c>
      <c r="N24" s="142" t="s">
        <v>350</v>
      </c>
      <c r="O24" s="143">
        <v>41507</v>
      </c>
      <c r="P24" s="146">
        <v>41639</v>
      </c>
      <c r="Q24" s="146"/>
      <c r="R24" s="140" t="s">
        <v>1016</v>
      </c>
      <c r="S24" s="141">
        <v>90000000</v>
      </c>
      <c r="T24" s="140" t="s">
        <v>1017</v>
      </c>
      <c r="U24" s="144">
        <v>30000000</v>
      </c>
      <c r="V24" s="144"/>
      <c r="W24" s="144"/>
      <c r="X24" s="144"/>
      <c r="Y24" s="144"/>
      <c r="Z24" s="144"/>
      <c r="AA24" s="144"/>
      <c r="AB24" s="144"/>
      <c r="AC24" s="144"/>
      <c r="AD24" s="144"/>
      <c r="AE24" s="144"/>
      <c r="AF24" s="144"/>
      <c r="AG24" s="144">
        <f t="shared" si="2"/>
        <v>0</v>
      </c>
      <c r="AH24" s="142"/>
      <c r="AI24" s="142"/>
      <c r="AJ24" s="140" t="s">
        <v>1022</v>
      </c>
      <c r="AK24" s="140" t="s">
        <v>1024</v>
      </c>
      <c r="AL24" s="140" t="s">
        <v>1024</v>
      </c>
      <c r="AM24" s="142"/>
      <c r="AN24" s="145">
        <f t="shared" si="3"/>
        <v>0</v>
      </c>
    </row>
    <row r="25" spans="1:40" ht="118.5" customHeight="1" x14ac:dyDescent="0.25">
      <c r="A25" s="1083"/>
      <c r="B25" s="1083"/>
      <c r="C25" s="1083"/>
      <c r="D25" s="1083"/>
      <c r="E25" s="1084"/>
      <c r="F25" s="1084"/>
      <c r="G25" s="1086"/>
      <c r="H25" s="1083"/>
      <c r="I25" s="140">
        <v>8</v>
      </c>
      <c r="J25" s="140" t="s">
        <v>948</v>
      </c>
      <c r="K25" s="140" t="s">
        <v>962</v>
      </c>
      <c r="L25" s="140" t="s">
        <v>1324</v>
      </c>
      <c r="M25" s="141">
        <v>25000000</v>
      </c>
      <c r="N25" s="142" t="s">
        <v>350</v>
      </c>
      <c r="O25" s="143">
        <v>41513</v>
      </c>
      <c r="P25" s="146" t="s">
        <v>1030</v>
      </c>
      <c r="Q25" s="146"/>
      <c r="R25" s="140" t="s">
        <v>1008</v>
      </c>
      <c r="S25" s="141">
        <v>150000000</v>
      </c>
      <c r="T25" s="140" t="s">
        <v>1018</v>
      </c>
      <c r="U25" s="144">
        <v>25000000</v>
      </c>
      <c r="V25" s="144"/>
      <c r="W25" s="144">
        <v>8000000</v>
      </c>
      <c r="X25" s="144">
        <v>17000000</v>
      </c>
      <c r="Y25" s="144"/>
      <c r="Z25" s="144"/>
      <c r="AA25" s="144"/>
      <c r="AB25" s="144"/>
      <c r="AC25" s="144"/>
      <c r="AD25" s="144"/>
      <c r="AE25" s="144"/>
      <c r="AF25" s="144"/>
      <c r="AG25" s="144">
        <f t="shared" si="2"/>
        <v>25000000</v>
      </c>
      <c r="AH25" s="142" t="s">
        <v>237</v>
      </c>
      <c r="AI25" s="140" t="s">
        <v>910</v>
      </c>
      <c r="AJ25" s="140" t="s">
        <v>1023</v>
      </c>
      <c r="AK25" s="140" t="s">
        <v>1025</v>
      </c>
      <c r="AL25" s="140" t="s">
        <v>1025</v>
      </c>
      <c r="AM25" s="142">
        <v>100</v>
      </c>
      <c r="AN25" s="145">
        <f t="shared" si="3"/>
        <v>100</v>
      </c>
    </row>
    <row r="26" spans="1:40" ht="113.25" customHeight="1" x14ac:dyDescent="0.25">
      <c r="A26" s="1083"/>
      <c r="B26" s="1083"/>
      <c r="C26" s="1083"/>
      <c r="D26" s="1083"/>
      <c r="E26" s="1084"/>
      <c r="F26" s="1084"/>
      <c r="G26" s="1086"/>
      <c r="H26" s="1083"/>
      <c r="I26" s="140">
        <v>9</v>
      </c>
      <c r="J26" s="140" t="s">
        <v>960</v>
      </c>
      <c r="K26" s="140" t="s">
        <v>1026</v>
      </c>
      <c r="L26" s="140" t="s">
        <v>1314</v>
      </c>
      <c r="M26" s="141">
        <v>25000000</v>
      </c>
      <c r="N26" s="142" t="s">
        <v>329</v>
      </c>
      <c r="O26" s="143">
        <v>41568</v>
      </c>
      <c r="P26" s="146">
        <v>41639</v>
      </c>
      <c r="Q26" s="146"/>
      <c r="R26" s="140" t="s">
        <v>1008</v>
      </c>
      <c r="S26" s="141">
        <v>150000000</v>
      </c>
      <c r="T26" s="140" t="s">
        <v>1033</v>
      </c>
      <c r="U26" s="144">
        <v>25000000</v>
      </c>
      <c r="V26" s="144"/>
      <c r="W26" s="144">
        <v>25000000</v>
      </c>
      <c r="X26" s="144"/>
      <c r="Y26" s="144"/>
      <c r="Z26" s="144"/>
      <c r="AA26" s="144"/>
      <c r="AB26" s="144"/>
      <c r="AC26" s="144"/>
      <c r="AD26" s="144"/>
      <c r="AE26" s="144"/>
      <c r="AF26" s="144"/>
      <c r="AG26" s="144">
        <f t="shared" si="2"/>
        <v>25000000</v>
      </c>
      <c r="AH26" s="142" t="s">
        <v>237</v>
      </c>
      <c r="AI26" s="147" t="s">
        <v>910</v>
      </c>
      <c r="AJ26" s="140" t="s">
        <v>1036</v>
      </c>
      <c r="AK26" s="140" t="s">
        <v>1039</v>
      </c>
      <c r="AL26" s="140" t="s">
        <v>1039</v>
      </c>
      <c r="AM26" s="142">
        <v>100</v>
      </c>
      <c r="AN26" s="145">
        <f t="shared" si="3"/>
        <v>100</v>
      </c>
    </row>
    <row r="27" spans="1:40" ht="137.25" customHeight="1" x14ac:dyDescent="0.25">
      <c r="A27" s="1083"/>
      <c r="B27" s="1083"/>
      <c r="C27" s="1083"/>
      <c r="D27" s="1083"/>
      <c r="E27" s="1084"/>
      <c r="F27" s="1084"/>
      <c r="G27" s="1086"/>
      <c r="H27" s="1083"/>
      <c r="I27" s="140">
        <v>10</v>
      </c>
      <c r="J27" s="140" t="s">
        <v>1027</v>
      </c>
      <c r="K27" s="140" t="s">
        <v>1365</v>
      </c>
      <c r="L27" s="140" t="s">
        <v>1315</v>
      </c>
      <c r="M27" s="141">
        <v>25000000</v>
      </c>
      <c r="N27" s="142" t="s">
        <v>1031</v>
      </c>
      <c r="O27" s="164" t="s">
        <v>967</v>
      </c>
      <c r="P27" s="146"/>
      <c r="Q27" s="146"/>
      <c r="R27" s="140" t="s">
        <v>1008</v>
      </c>
      <c r="S27" s="141">
        <v>150000000</v>
      </c>
      <c r="T27" s="140" t="s">
        <v>1034</v>
      </c>
      <c r="U27" s="144">
        <v>25000000</v>
      </c>
      <c r="V27" s="144"/>
      <c r="W27" s="144"/>
      <c r="X27" s="144"/>
      <c r="Y27" s="144"/>
      <c r="Z27" s="144"/>
      <c r="AA27" s="144"/>
      <c r="AB27" s="144"/>
      <c r="AC27" s="144"/>
      <c r="AD27" s="144"/>
      <c r="AE27" s="144"/>
      <c r="AF27" s="144"/>
      <c r="AG27" s="144">
        <f t="shared" si="2"/>
        <v>0</v>
      </c>
      <c r="AH27" s="142"/>
      <c r="AI27" s="147" t="s">
        <v>910</v>
      </c>
      <c r="AJ27" s="140" t="s">
        <v>1037</v>
      </c>
      <c r="AK27" s="140" t="s">
        <v>1040</v>
      </c>
      <c r="AL27" s="140" t="s">
        <v>1040</v>
      </c>
      <c r="AM27" s="142">
        <v>0</v>
      </c>
      <c r="AN27" s="145">
        <f t="shared" si="3"/>
        <v>0</v>
      </c>
    </row>
    <row r="28" spans="1:40" ht="115.5" customHeight="1" x14ac:dyDescent="0.25">
      <c r="A28" s="1083"/>
      <c r="B28" s="1083"/>
      <c r="C28" s="1083"/>
      <c r="D28" s="1083"/>
      <c r="E28" s="1084"/>
      <c r="F28" s="1084"/>
      <c r="G28" s="1087"/>
      <c r="H28" s="1083"/>
      <c r="I28" s="140">
        <v>11</v>
      </c>
      <c r="J28" s="18" t="s">
        <v>1028</v>
      </c>
      <c r="K28" s="140" t="s">
        <v>1029</v>
      </c>
      <c r="L28" s="140" t="s">
        <v>1325</v>
      </c>
      <c r="M28" s="141">
        <v>52840000</v>
      </c>
      <c r="N28" s="19" t="s">
        <v>1059</v>
      </c>
      <c r="O28" s="143">
        <v>41593</v>
      </c>
      <c r="P28" s="150">
        <v>41611</v>
      </c>
      <c r="Q28" s="149"/>
      <c r="R28" s="18" t="s">
        <v>1032</v>
      </c>
      <c r="S28" s="141">
        <v>40000000</v>
      </c>
      <c r="T28" s="18" t="s">
        <v>1035</v>
      </c>
      <c r="U28" s="144">
        <v>4000000</v>
      </c>
      <c r="V28" s="149"/>
      <c r="W28" s="149"/>
      <c r="X28" s="149"/>
      <c r="Y28" s="149"/>
      <c r="Z28" s="149"/>
      <c r="AA28" s="149"/>
      <c r="AB28" s="149"/>
      <c r="AC28" s="149"/>
      <c r="AD28" s="149"/>
      <c r="AE28" s="149"/>
      <c r="AF28" s="149"/>
      <c r="AG28" s="144">
        <f t="shared" si="2"/>
        <v>0</v>
      </c>
      <c r="AH28" s="149"/>
      <c r="AI28" s="147" t="s">
        <v>910</v>
      </c>
      <c r="AJ28" s="140" t="s">
        <v>1038</v>
      </c>
      <c r="AK28" s="18" t="s">
        <v>1041</v>
      </c>
      <c r="AL28" s="237" t="s">
        <v>1041</v>
      </c>
      <c r="AM28" s="142">
        <v>0</v>
      </c>
      <c r="AN28" s="145">
        <f>(AG28*100)/U28</f>
        <v>0</v>
      </c>
    </row>
    <row r="29" spans="1:40" x14ac:dyDescent="0.25">
      <c r="A29" s="152"/>
      <c r="B29" s="152"/>
      <c r="C29" s="152"/>
      <c r="D29" s="152"/>
      <c r="E29" s="153"/>
      <c r="F29" s="152"/>
      <c r="G29" s="153"/>
      <c r="H29" s="152"/>
      <c r="I29" s="140"/>
      <c r="J29" s="18"/>
      <c r="K29" s="140"/>
      <c r="L29" s="148"/>
      <c r="M29" s="151">
        <f>SUM(M18:M28)</f>
        <v>466840000</v>
      </c>
      <c r="N29" s="152"/>
      <c r="O29" s="154"/>
      <c r="P29" s="155"/>
      <c r="Q29" s="156"/>
      <c r="R29" s="153"/>
      <c r="S29" s="157"/>
      <c r="T29" s="153"/>
      <c r="U29" s="158">
        <f>SUM(U18:U28)</f>
        <v>443000000</v>
      </c>
      <c r="V29" s="156"/>
      <c r="W29" s="156"/>
      <c r="X29" s="156"/>
      <c r="Y29" s="156"/>
      <c r="Z29" s="156"/>
      <c r="AA29" s="156"/>
      <c r="AB29" s="156"/>
      <c r="AC29" s="156"/>
      <c r="AD29" s="156"/>
      <c r="AE29" s="156"/>
      <c r="AF29" s="156"/>
      <c r="AG29" s="144">
        <f>SUM(AG18:AG28)</f>
        <v>158437500</v>
      </c>
      <c r="AH29" s="156"/>
      <c r="AI29" s="159"/>
      <c r="AJ29" s="160"/>
      <c r="AK29" s="153"/>
      <c r="AL29" s="156"/>
      <c r="AM29" s="161">
        <f>SUM(AM18:AM28)/11</f>
        <v>44.43181818181818</v>
      </c>
      <c r="AN29" s="161">
        <f>SUM(AN18:AN28)/11</f>
        <v>44.43181818181818</v>
      </c>
    </row>
    <row r="30" spans="1:40" ht="108.75" customHeight="1" x14ac:dyDescent="0.25">
      <c r="A30" s="1073">
        <v>3</v>
      </c>
      <c r="B30" s="1073" t="s">
        <v>390</v>
      </c>
      <c r="C30" s="1073" t="s">
        <v>1351</v>
      </c>
      <c r="D30" s="1073">
        <v>2013</v>
      </c>
      <c r="E30" s="1037" t="s">
        <v>1372</v>
      </c>
      <c r="F30" s="1037" t="s">
        <v>1112</v>
      </c>
      <c r="G30" s="1076">
        <v>158300000</v>
      </c>
      <c r="H30" s="1037" t="s">
        <v>1116</v>
      </c>
      <c r="I30" s="165">
        <v>1</v>
      </c>
      <c r="J30" s="166" t="s">
        <v>1058</v>
      </c>
      <c r="K30" s="165" t="s">
        <v>913</v>
      </c>
      <c r="L30" s="165" t="s">
        <v>1320</v>
      </c>
      <c r="M30" s="167">
        <v>18300000</v>
      </c>
      <c r="N30" s="168" t="s">
        <v>350</v>
      </c>
      <c r="O30" s="169">
        <v>41492</v>
      </c>
      <c r="P30" s="169">
        <v>41639</v>
      </c>
      <c r="Q30" s="169">
        <v>41639</v>
      </c>
      <c r="R30" s="162" t="s">
        <v>1060</v>
      </c>
      <c r="S30" s="170">
        <v>20800000</v>
      </c>
      <c r="T30" s="162" t="s">
        <v>1061</v>
      </c>
      <c r="U30" s="170">
        <v>20300000</v>
      </c>
      <c r="V30" s="170"/>
      <c r="W30" s="170">
        <v>6000000</v>
      </c>
      <c r="X30" s="170">
        <v>6000000</v>
      </c>
      <c r="Y30" s="170">
        <v>8300000</v>
      </c>
      <c r="Z30" s="170"/>
      <c r="AA30" s="170"/>
      <c r="AB30" s="170"/>
      <c r="AC30" s="170"/>
      <c r="AD30" s="170"/>
      <c r="AE30" s="170"/>
      <c r="AF30" s="170"/>
      <c r="AG30" s="167">
        <f t="shared" si="2"/>
        <v>20300000</v>
      </c>
      <c r="AH30" s="168" t="s">
        <v>237</v>
      </c>
      <c r="AI30" s="162" t="s">
        <v>910</v>
      </c>
      <c r="AJ30" s="165" t="s">
        <v>1065</v>
      </c>
      <c r="AK30" s="162" t="s">
        <v>1062</v>
      </c>
      <c r="AL30" s="228" t="s">
        <v>1062</v>
      </c>
      <c r="AM30" s="168">
        <v>100</v>
      </c>
      <c r="AN30" s="171">
        <f t="shared" ref="AN30:AN77" si="4">(AG30*100)/U30</f>
        <v>100</v>
      </c>
    </row>
    <row r="31" spans="1:40" ht="117" customHeight="1" x14ac:dyDescent="0.25">
      <c r="A31" s="1074"/>
      <c r="B31" s="1074"/>
      <c r="C31" s="1074"/>
      <c r="D31" s="1074"/>
      <c r="E31" s="1037"/>
      <c r="F31" s="1037"/>
      <c r="G31" s="1076"/>
      <c r="H31" s="1037"/>
      <c r="I31" s="165">
        <v>2</v>
      </c>
      <c r="J31" s="165" t="s">
        <v>912</v>
      </c>
      <c r="K31" s="165" t="s">
        <v>914</v>
      </c>
      <c r="L31" s="165" t="s">
        <v>1326</v>
      </c>
      <c r="M31" s="170">
        <v>27500000</v>
      </c>
      <c r="N31" s="168" t="s">
        <v>350</v>
      </c>
      <c r="O31" s="169">
        <v>41492</v>
      </c>
      <c r="P31" s="169">
        <v>41639</v>
      </c>
      <c r="Q31" s="168"/>
      <c r="R31" s="162" t="s">
        <v>1063</v>
      </c>
      <c r="S31" s="170">
        <v>27500000</v>
      </c>
      <c r="T31" s="162" t="s">
        <v>1064</v>
      </c>
      <c r="U31" s="170">
        <v>27500000</v>
      </c>
      <c r="V31" s="170"/>
      <c r="W31" s="170">
        <f>U31*12.5%</f>
        <v>3437500</v>
      </c>
      <c r="X31" s="170"/>
      <c r="Y31" s="170"/>
      <c r="Z31" s="170"/>
      <c r="AA31" s="170"/>
      <c r="AB31" s="170"/>
      <c r="AC31" s="170"/>
      <c r="AD31" s="170"/>
      <c r="AE31" s="170"/>
      <c r="AF31" s="170"/>
      <c r="AG31" s="167">
        <f t="shared" si="2"/>
        <v>3437500</v>
      </c>
      <c r="AH31" s="168"/>
      <c r="AI31" s="162" t="s">
        <v>910</v>
      </c>
      <c r="AJ31" s="165" t="s">
        <v>1066</v>
      </c>
      <c r="AK31" s="162" t="s">
        <v>1070</v>
      </c>
      <c r="AL31" s="228" t="s">
        <v>1307</v>
      </c>
      <c r="AM31" s="168">
        <v>12.5</v>
      </c>
      <c r="AN31" s="171">
        <f t="shared" si="4"/>
        <v>12.5</v>
      </c>
    </row>
    <row r="32" spans="1:40" ht="181.5" customHeight="1" x14ac:dyDescent="0.25">
      <c r="A32" s="1074"/>
      <c r="B32" s="1074"/>
      <c r="C32" s="1074"/>
      <c r="D32" s="1074"/>
      <c r="E32" s="1037"/>
      <c r="F32" s="1037"/>
      <c r="G32" s="1076"/>
      <c r="H32" s="1037"/>
      <c r="I32" s="165">
        <v>3</v>
      </c>
      <c r="J32" s="165" t="s">
        <v>920</v>
      </c>
      <c r="K32" s="165" t="s">
        <v>921</v>
      </c>
      <c r="L32" s="165" t="s">
        <v>1327</v>
      </c>
      <c r="M32" s="170">
        <v>36200000</v>
      </c>
      <c r="N32" s="168" t="s">
        <v>350</v>
      </c>
      <c r="O32" s="169">
        <v>41498</v>
      </c>
      <c r="P32" s="169">
        <v>41639</v>
      </c>
      <c r="Q32" s="169">
        <v>41639</v>
      </c>
      <c r="R32" s="162" t="s">
        <v>1068</v>
      </c>
      <c r="S32" s="170">
        <v>36200000</v>
      </c>
      <c r="T32" s="162" t="s">
        <v>1069</v>
      </c>
      <c r="U32" s="170">
        <v>36200000</v>
      </c>
      <c r="V32" s="170"/>
      <c r="W32" s="170">
        <v>12000000</v>
      </c>
      <c r="X32" s="170">
        <v>12000000</v>
      </c>
      <c r="Y32" s="170">
        <v>12200000</v>
      </c>
      <c r="Z32" s="170"/>
      <c r="AA32" s="170"/>
      <c r="AB32" s="170"/>
      <c r="AC32" s="170"/>
      <c r="AD32" s="170"/>
      <c r="AE32" s="170"/>
      <c r="AF32" s="170"/>
      <c r="AG32" s="167">
        <f t="shared" si="2"/>
        <v>36200000</v>
      </c>
      <c r="AH32" s="168" t="s">
        <v>237</v>
      </c>
      <c r="AI32" s="162" t="s">
        <v>910</v>
      </c>
      <c r="AJ32" s="165" t="s">
        <v>1067</v>
      </c>
      <c r="AK32" s="162" t="s">
        <v>1071</v>
      </c>
      <c r="AL32" s="228" t="s">
        <v>1071</v>
      </c>
      <c r="AM32" s="168">
        <v>100</v>
      </c>
      <c r="AN32" s="171">
        <f t="shared" si="4"/>
        <v>100</v>
      </c>
    </row>
    <row r="33" spans="1:40" ht="133.5" customHeight="1" x14ac:dyDescent="0.25">
      <c r="A33" s="1074"/>
      <c r="B33" s="1074"/>
      <c r="C33" s="1074"/>
      <c r="D33" s="1074"/>
      <c r="E33" s="1037"/>
      <c r="F33" s="1037"/>
      <c r="G33" s="1076"/>
      <c r="H33" s="1037"/>
      <c r="I33" s="165">
        <v>4</v>
      </c>
      <c r="J33" s="165" t="s">
        <v>990</v>
      </c>
      <c r="K33" s="165" t="s">
        <v>940</v>
      </c>
      <c r="L33" s="165" t="s">
        <v>1328</v>
      </c>
      <c r="M33" s="170">
        <v>12500000</v>
      </c>
      <c r="N33" s="168" t="s">
        <v>350</v>
      </c>
      <c r="O33" s="169">
        <v>41502</v>
      </c>
      <c r="P33" s="169">
        <v>41639</v>
      </c>
      <c r="Q33" s="169">
        <v>41639</v>
      </c>
      <c r="R33" s="162" t="s">
        <v>1072</v>
      </c>
      <c r="S33" s="170">
        <v>12500000</v>
      </c>
      <c r="T33" s="162" t="s">
        <v>1073</v>
      </c>
      <c r="U33" s="170">
        <v>12500000</v>
      </c>
      <c r="V33" s="170"/>
      <c r="W33" s="170">
        <v>3000000</v>
      </c>
      <c r="X33" s="170">
        <v>9500000</v>
      </c>
      <c r="Y33" s="170"/>
      <c r="Z33" s="170"/>
      <c r="AA33" s="170"/>
      <c r="AB33" s="170"/>
      <c r="AC33" s="170"/>
      <c r="AD33" s="170"/>
      <c r="AE33" s="170"/>
      <c r="AF33" s="170"/>
      <c r="AG33" s="167">
        <f t="shared" si="2"/>
        <v>12500000</v>
      </c>
      <c r="AH33" s="168" t="s">
        <v>237</v>
      </c>
      <c r="AI33" s="162" t="s">
        <v>910</v>
      </c>
      <c r="AJ33" s="165" t="s">
        <v>1075</v>
      </c>
      <c r="AK33" s="162" t="s">
        <v>1074</v>
      </c>
      <c r="AL33" s="228" t="s">
        <v>1074</v>
      </c>
      <c r="AM33" s="168">
        <v>100</v>
      </c>
      <c r="AN33" s="171">
        <f t="shared" si="4"/>
        <v>100</v>
      </c>
    </row>
    <row r="34" spans="1:40" ht="123.75" customHeight="1" x14ac:dyDescent="0.25">
      <c r="A34" s="1074"/>
      <c r="B34" s="1074"/>
      <c r="C34" s="1074"/>
      <c r="D34" s="1074"/>
      <c r="E34" s="1037"/>
      <c r="F34" s="1037"/>
      <c r="G34" s="1076"/>
      <c r="H34" s="1037"/>
      <c r="I34" s="165">
        <v>5</v>
      </c>
      <c r="J34" s="172" t="s">
        <v>1046</v>
      </c>
      <c r="K34" s="173" t="s">
        <v>1047</v>
      </c>
      <c r="L34" s="165" t="s">
        <v>1328</v>
      </c>
      <c r="M34" s="170">
        <v>21800000</v>
      </c>
      <c r="N34" s="168"/>
      <c r="O34" s="162" t="s">
        <v>967</v>
      </c>
      <c r="P34" s="168"/>
      <c r="Q34" s="168"/>
      <c r="R34" s="162" t="s">
        <v>1076</v>
      </c>
      <c r="S34" s="170">
        <v>21800000</v>
      </c>
      <c r="T34" s="162" t="s">
        <v>1077</v>
      </c>
      <c r="U34" s="170">
        <v>21800000</v>
      </c>
      <c r="V34" s="170"/>
      <c r="W34" s="170"/>
      <c r="X34" s="170"/>
      <c r="Y34" s="170"/>
      <c r="Z34" s="170"/>
      <c r="AA34" s="170"/>
      <c r="AB34" s="170"/>
      <c r="AC34" s="170"/>
      <c r="AD34" s="170"/>
      <c r="AE34" s="170"/>
      <c r="AF34" s="170"/>
      <c r="AG34" s="167">
        <f t="shared" si="2"/>
        <v>0</v>
      </c>
      <c r="AH34" s="168"/>
      <c r="AI34" s="162" t="s">
        <v>910</v>
      </c>
      <c r="AJ34" s="165" t="s">
        <v>1079</v>
      </c>
      <c r="AK34" s="162" t="s">
        <v>1078</v>
      </c>
      <c r="AL34" s="228" t="s">
        <v>1078</v>
      </c>
      <c r="AM34" s="168">
        <v>0</v>
      </c>
      <c r="AN34" s="171">
        <f t="shared" si="4"/>
        <v>0</v>
      </c>
    </row>
    <row r="35" spans="1:40" ht="120.75" customHeight="1" x14ac:dyDescent="0.25">
      <c r="A35" s="1074"/>
      <c r="B35" s="1074"/>
      <c r="C35" s="1074"/>
      <c r="D35" s="1074"/>
      <c r="E35" s="1037"/>
      <c r="F35" s="1037"/>
      <c r="G35" s="1076"/>
      <c r="H35" s="1037"/>
      <c r="I35" s="165">
        <v>6</v>
      </c>
      <c r="J35" s="165" t="s">
        <v>948</v>
      </c>
      <c r="K35" s="165" t="s">
        <v>962</v>
      </c>
      <c r="L35" s="165" t="s">
        <v>1318</v>
      </c>
      <c r="M35" s="170">
        <v>11500000</v>
      </c>
      <c r="N35" s="168" t="s">
        <v>335</v>
      </c>
      <c r="O35" s="169">
        <v>45173</v>
      </c>
      <c r="P35" s="169">
        <v>41639</v>
      </c>
      <c r="Q35" s="169">
        <v>41639</v>
      </c>
      <c r="R35" s="162" t="s">
        <v>1081</v>
      </c>
      <c r="S35" s="170">
        <v>11500000</v>
      </c>
      <c r="T35" s="162" t="s">
        <v>1082</v>
      </c>
      <c r="U35" s="170">
        <v>11500000</v>
      </c>
      <c r="V35" s="170"/>
      <c r="W35" s="170">
        <f>U35/2</f>
        <v>5750000</v>
      </c>
      <c r="X35" s="170">
        <v>5750000</v>
      </c>
      <c r="Y35" s="170"/>
      <c r="Z35" s="170"/>
      <c r="AA35" s="170"/>
      <c r="AB35" s="170"/>
      <c r="AC35" s="170"/>
      <c r="AD35" s="170"/>
      <c r="AE35" s="170"/>
      <c r="AF35" s="170"/>
      <c r="AG35" s="167">
        <f t="shared" si="2"/>
        <v>11500000</v>
      </c>
      <c r="AH35" s="174" t="s">
        <v>237</v>
      </c>
      <c r="AI35" s="165" t="s">
        <v>910</v>
      </c>
      <c r="AJ35" s="165" t="s">
        <v>1080</v>
      </c>
      <c r="AK35" s="168" t="s">
        <v>1083</v>
      </c>
      <c r="AL35" s="168" t="s">
        <v>1083</v>
      </c>
      <c r="AM35" s="168">
        <v>100</v>
      </c>
      <c r="AN35" s="171">
        <f t="shared" si="4"/>
        <v>100</v>
      </c>
    </row>
    <row r="36" spans="1:40" ht="123.75" customHeight="1" x14ac:dyDescent="0.25">
      <c r="A36" s="1074"/>
      <c r="B36" s="1074"/>
      <c r="C36" s="1074"/>
      <c r="D36" s="1074"/>
      <c r="E36" s="1037"/>
      <c r="F36" s="1037"/>
      <c r="G36" s="1076"/>
      <c r="H36" s="1037"/>
      <c r="I36" s="165">
        <v>7</v>
      </c>
      <c r="J36" s="162" t="s">
        <v>1048</v>
      </c>
      <c r="K36" s="162" t="s">
        <v>1050</v>
      </c>
      <c r="L36" s="165" t="s">
        <v>1329</v>
      </c>
      <c r="M36" s="170">
        <v>16900000</v>
      </c>
      <c r="N36" s="168"/>
      <c r="O36" s="162" t="s">
        <v>967</v>
      </c>
      <c r="P36" s="168"/>
      <c r="Q36" s="168"/>
      <c r="R36" s="162" t="s">
        <v>1084</v>
      </c>
      <c r="S36" s="170">
        <v>16900000</v>
      </c>
      <c r="T36" s="162" t="s">
        <v>1085</v>
      </c>
      <c r="U36" s="170">
        <v>16900000</v>
      </c>
      <c r="V36" s="170"/>
      <c r="W36" s="170"/>
      <c r="X36" s="170"/>
      <c r="Y36" s="170"/>
      <c r="Z36" s="170"/>
      <c r="AA36" s="170"/>
      <c r="AB36" s="170"/>
      <c r="AC36" s="170"/>
      <c r="AD36" s="170"/>
      <c r="AE36" s="170"/>
      <c r="AF36" s="170"/>
      <c r="AG36" s="167">
        <f t="shared" si="2"/>
        <v>0</v>
      </c>
      <c r="AH36" s="168"/>
      <c r="AI36" s="162" t="s">
        <v>954</v>
      </c>
      <c r="AJ36" s="165" t="s">
        <v>1086</v>
      </c>
      <c r="AK36" s="162" t="s">
        <v>1087</v>
      </c>
      <c r="AL36" s="228"/>
      <c r="AM36" s="168"/>
      <c r="AN36" s="171">
        <f t="shared" si="4"/>
        <v>0</v>
      </c>
    </row>
    <row r="37" spans="1:40" ht="113.25" customHeight="1" x14ac:dyDescent="0.25">
      <c r="A37" s="1074"/>
      <c r="B37" s="1074"/>
      <c r="C37" s="1074"/>
      <c r="D37" s="1074"/>
      <c r="E37" s="1037"/>
      <c r="F37" s="1037"/>
      <c r="G37" s="1076"/>
      <c r="H37" s="1037"/>
      <c r="I37" s="165">
        <v>8</v>
      </c>
      <c r="J37" s="162" t="s">
        <v>1049</v>
      </c>
      <c r="K37" s="162" t="s">
        <v>1051</v>
      </c>
      <c r="L37" s="165" t="s">
        <v>1314</v>
      </c>
      <c r="M37" s="170">
        <v>15900000</v>
      </c>
      <c r="N37" s="168" t="s">
        <v>335</v>
      </c>
      <c r="O37" s="169">
        <v>41523</v>
      </c>
      <c r="P37" s="169">
        <v>41639</v>
      </c>
      <c r="Q37" s="168"/>
      <c r="R37" s="162" t="s">
        <v>1088</v>
      </c>
      <c r="S37" s="170">
        <v>15900000</v>
      </c>
      <c r="T37" s="162" t="s">
        <v>1089</v>
      </c>
      <c r="U37" s="170">
        <v>15900000</v>
      </c>
      <c r="V37" s="170"/>
      <c r="W37" s="170"/>
      <c r="X37" s="170"/>
      <c r="Y37" s="170"/>
      <c r="Z37" s="170"/>
      <c r="AA37" s="170"/>
      <c r="AB37" s="170"/>
      <c r="AC37" s="170"/>
      <c r="AD37" s="170"/>
      <c r="AE37" s="170"/>
      <c r="AF37" s="170"/>
      <c r="AG37" s="167">
        <f t="shared" si="2"/>
        <v>0</v>
      </c>
      <c r="AH37" s="168"/>
      <c r="AI37" s="162" t="s">
        <v>910</v>
      </c>
      <c r="AJ37" s="165" t="s">
        <v>1090</v>
      </c>
      <c r="AK37" s="162" t="s">
        <v>1091</v>
      </c>
      <c r="AL37" s="228"/>
      <c r="AM37" s="168"/>
      <c r="AN37" s="171">
        <f t="shared" si="4"/>
        <v>0</v>
      </c>
    </row>
    <row r="38" spans="1:40" ht="111.75" customHeight="1" x14ac:dyDescent="0.25">
      <c r="A38" s="1074"/>
      <c r="B38" s="1074"/>
      <c r="C38" s="1074"/>
      <c r="D38" s="1074"/>
      <c r="E38" s="1037"/>
      <c r="F38" s="1037"/>
      <c r="G38" s="1076"/>
      <c r="H38" s="1037"/>
      <c r="I38" s="165">
        <v>9</v>
      </c>
      <c r="J38" s="165" t="s">
        <v>960</v>
      </c>
      <c r="K38" s="165" t="s">
        <v>963</v>
      </c>
      <c r="L38" s="165" t="s">
        <v>1314</v>
      </c>
      <c r="M38" s="170">
        <v>15300000</v>
      </c>
      <c r="N38" s="174" t="s">
        <v>329</v>
      </c>
      <c r="O38" s="175">
        <v>41568</v>
      </c>
      <c r="P38" s="109" t="s">
        <v>1030</v>
      </c>
      <c r="Q38" s="109"/>
      <c r="R38" s="165" t="s">
        <v>1092</v>
      </c>
      <c r="S38" s="176">
        <v>15300000</v>
      </c>
      <c r="T38" s="162" t="s">
        <v>1093</v>
      </c>
      <c r="U38" s="170">
        <v>15300000</v>
      </c>
      <c r="V38" s="170"/>
      <c r="W38" s="170">
        <v>15300000</v>
      </c>
      <c r="X38" s="170"/>
      <c r="Y38" s="170"/>
      <c r="Z38" s="170"/>
      <c r="AA38" s="170"/>
      <c r="AB38" s="170"/>
      <c r="AC38" s="170"/>
      <c r="AD38" s="170"/>
      <c r="AE38" s="170"/>
      <c r="AF38" s="170"/>
      <c r="AG38" s="167">
        <f t="shared" si="2"/>
        <v>15300000</v>
      </c>
      <c r="AH38" s="174" t="s">
        <v>237</v>
      </c>
      <c r="AI38" s="177" t="s">
        <v>910</v>
      </c>
      <c r="AJ38" s="165" t="s">
        <v>1094</v>
      </c>
      <c r="AK38" s="162" t="s">
        <v>1095</v>
      </c>
      <c r="AL38" s="228" t="s">
        <v>1095</v>
      </c>
      <c r="AM38" s="168">
        <v>100</v>
      </c>
      <c r="AN38" s="171">
        <f t="shared" si="4"/>
        <v>100</v>
      </c>
    </row>
    <row r="39" spans="1:40" ht="131.25" customHeight="1" x14ac:dyDescent="0.25">
      <c r="A39" s="1074"/>
      <c r="B39" s="1074"/>
      <c r="C39" s="1074"/>
      <c r="D39" s="1074"/>
      <c r="E39" s="1037"/>
      <c r="F39" s="1037"/>
      <c r="G39" s="1076"/>
      <c r="H39" s="1037"/>
      <c r="I39" s="165">
        <v>10</v>
      </c>
      <c r="J39" s="165" t="s">
        <v>961</v>
      </c>
      <c r="K39" s="165" t="s">
        <v>962</v>
      </c>
      <c r="L39" s="165" t="s">
        <v>1315</v>
      </c>
      <c r="M39" s="170">
        <v>24500000</v>
      </c>
      <c r="N39" s="174"/>
      <c r="O39" s="109" t="s">
        <v>967</v>
      </c>
      <c r="P39" s="109"/>
      <c r="Q39" s="109"/>
      <c r="R39" s="165" t="s">
        <v>1097</v>
      </c>
      <c r="S39" s="176">
        <v>27400000</v>
      </c>
      <c r="T39" s="162" t="s">
        <v>1098</v>
      </c>
      <c r="U39" s="170">
        <v>27400000</v>
      </c>
      <c r="V39" s="170"/>
      <c r="W39" s="170"/>
      <c r="X39" s="170"/>
      <c r="Y39" s="170"/>
      <c r="Z39" s="170"/>
      <c r="AA39" s="170"/>
      <c r="AB39" s="170"/>
      <c r="AC39" s="170"/>
      <c r="AD39" s="170"/>
      <c r="AE39" s="170"/>
      <c r="AF39" s="170"/>
      <c r="AG39" s="167">
        <v>0</v>
      </c>
      <c r="AH39" s="174"/>
      <c r="AI39" s="177" t="s">
        <v>910</v>
      </c>
      <c r="AJ39" s="165" t="s">
        <v>1099</v>
      </c>
      <c r="AK39" s="162" t="s">
        <v>1096</v>
      </c>
      <c r="AL39" s="228"/>
      <c r="AM39" s="168"/>
      <c r="AN39" s="171">
        <f t="shared" si="4"/>
        <v>0</v>
      </c>
    </row>
    <row r="40" spans="1:40" ht="79.5" customHeight="1" x14ac:dyDescent="0.25">
      <c r="A40" s="1074"/>
      <c r="B40" s="1074"/>
      <c r="C40" s="1074"/>
      <c r="D40" s="1074"/>
      <c r="E40" s="1037"/>
      <c r="F40" s="1037"/>
      <c r="G40" s="1076"/>
      <c r="H40" s="1037"/>
      <c r="I40" s="165">
        <v>11</v>
      </c>
      <c r="J40" s="178" t="s">
        <v>1052</v>
      </c>
      <c r="K40" s="178" t="s">
        <v>1053</v>
      </c>
      <c r="L40" s="165" t="s">
        <v>1330</v>
      </c>
      <c r="M40" s="170">
        <v>5250000</v>
      </c>
      <c r="N40" s="168" t="s">
        <v>335</v>
      </c>
      <c r="O40" s="169">
        <v>41558</v>
      </c>
      <c r="P40" s="168" t="s">
        <v>1030</v>
      </c>
      <c r="Q40" s="168" t="s">
        <v>1030</v>
      </c>
      <c r="R40" s="162" t="s">
        <v>1102</v>
      </c>
      <c r="S40" s="170">
        <v>900000</v>
      </c>
      <c r="T40" s="162" t="s">
        <v>1101</v>
      </c>
      <c r="U40" s="170">
        <v>5250000</v>
      </c>
      <c r="V40" s="170"/>
      <c r="W40" s="170">
        <v>1250000</v>
      </c>
      <c r="X40" s="170">
        <v>1500000</v>
      </c>
      <c r="Y40" s="170">
        <v>2500000</v>
      </c>
      <c r="Z40" s="170"/>
      <c r="AA40" s="170"/>
      <c r="AB40" s="170"/>
      <c r="AC40" s="170"/>
      <c r="AD40" s="170"/>
      <c r="AE40" s="170"/>
      <c r="AF40" s="170"/>
      <c r="AG40" s="167">
        <f t="shared" si="2"/>
        <v>5250000</v>
      </c>
      <c r="AH40" s="168" t="s">
        <v>237</v>
      </c>
      <c r="AI40" s="162" t="s">
        <v>1103</v>
      </c>
      <c r="AJ40" s="165" t="s">
        <v>1358</v>
      </c>
      <c r="AK40" s="162" t="s">
        <v>1104</v>
      </c>
      <c r="AL40" s="228" t="s">
        <v>1104</v>
      </c>
      <c r="AM40" s="168">
        <v>100</v>
      </c>
      <c r="AN40" s="171">
        <f t="shared" si="4"/>
        <v>100</v>
      </c>
    </row>
    <row r="41" spans="1:40" ht="89.25" customHeight="1" x14ac:dyDescent="0.25">
      <c r="A41" s="1074"/>
      <c r="B41" s="1074"/>
      <c r="C41" s="1074"/>
      <c r="D41" s="1074"/>
      <c r="E41" s="1037"/>
      <c r="F41" s="1037"/>
      <c r="G41" s="1076"/>
      <c r="H41" s="1037"/>
      <c r="I41" s="174">
        <v>12</v>
      </c>
      <c r="J41" s="162" t="s">
        <v>1054</v>
      </c>
      <c r="K41" s="162" t="s">
        <v>1055</v>
      </c>
      <c r="L41" s="165" t="s">
        <v>1331</v>
      </c>
      <c r="M41" s="170">
        <v>1650000</v>
      </c>
      <c r="N41" s="168" t="s">
        <v>329</v>
      </c>
      <c r="O41" s="162" t="s">
        <v>967</v>
      </c>
      <c r="P41" s="168"/>
      <c r="Q41" s="168" t="s">
        <v>1030</v>
      </c>
      <c r="R41" s="162" t="s">
        <v>1105</v>
      </c>
      <c r="S41" s="170">
        <v>3500000</v>
      </c>
      <c r="T41" s="162" t="s">
        <v>1106</v>
      </c>
      <c r="U41" s="170">
        <v>1650000</v>
      </c>
      <c r="V41" s="170"/>
      <c r="W41" s="170">
        <v>400000</v>
      </c>
      <c r="X41" s="170">
        <v>1250000</v>
      </c>
      <c r="Y41" s="170"/>
      <c r="Z41" s="170"/>
      <c r="AA41" s="170"/>
      <c r="AB41" s="170"/>
      <c r="AC41" s="170"/>
      <c r="AD41" s="170"/>
      <c r="AE41" s="170"/>
      <c r="AF41" s="170"/>
      <c r="AG41" s="167">
        <f t="shared" si="2"/>
        <v>1650000</v>
      </c>
      <c r="AH41" s="168" t="s">
        <v>237</v>
      </c>
      <c r="AI41" s="162" t="s">
        <v>1109</v>
      </c>
      <c r="AJ41" s="162" t="s">
        <v>1359</v>
      </c>
      <c r="AK41" s="162" t="s">
        <v>1110</v>
      </c>
      <c r="AL41" s="228" t="s">
        <v>1110</v>
      </c>
      <c r="AM41" s="168">
        <v>100</v>
      </c>
      <c r="AN41" s="171">
        <f t="shared" si="4"/>
        <v>100</v>
      </c>
    </row>
    <row r="42" spans="1:40" ht="111" customHeight="1" x14ac:dyDescent="0.25">
      <c r="A42" s="1075"/>
      <c r="B42" s="1075"/>
      <c r="C42" s="1075"/>
      <c r="D42" s="1075"/>
      <c r="E42" s="1037"/>
      <c r="F42" s="1037"/>
      <c r="G42" s="1076"/>
      <c r="H42" s="1037"/>
      <c r="I42" s="174">
        <v>13</v>
      </c>
      <c r="J42" s="162" t="s">
        <v>1056</v>
      </c>
      <c r="K42" s="162" t="s">
        <v>1057</v>
      </c>
      <c r="L42" s="165" t="s">
        <v>1332</v>
      </c>
      <c r="M42" s="170">
        <v>8750000</v>
      </c>
      <c r="N42" s="168" t="s">
        <v>1100</v>
      </c>
      <c r="O42" s="169">
        <v>41416</v>
      </c>
      <c r="P42" s="169">
        <v>41629</v>
      </c>
      <c r="Q42" s="168" t="s">
        <v>1030</v>
      </c>
      <c r="R42" s="162" t="s">
        <v>1107</v>
      </c>
      <c r="S42" s="170">
        <v>8750000</v>
      </c>
      <c r="T42" s="162" t="s">
        <v>1108</v>
      </c>
      <c r="U42" s="170">
        <v>8750000</v>
      </c>
      <c r="V42" s="170"/>
      <c r="W42" s="170">
        <v>2500000</v>
      </c>
      <c r="X42" s="170">
        <v>1250000</v>
      </c>
      <c r="Y42" s="170">
        <v>2500000</v>
      </c>
      <c r="Z42" s="170">
        <v>1250000</v>
      </c>
      <c r="AA42" s="170">
        <v>1250000</v>
      </c>
      <c r="AB42" s="170"/>
      <c r="AC42" s="170"/>
      <c r="AD42" s="170"/>
      <c r="AE42" s="170"/>
      <c r="AF42" s="170"/>
      <c r="AG42" s="167">
        <f t="shared" si="2"/>
        <v>8750000</v>
      </c>
      <c r="AH42" s="168" t="s">
        <v>237</v>
      </c>
      <c r="AI42" s="162" t="s">
        <v>1103</v>
      </c>
      <c r="AJ42" s="162"/>
      <c r="AK42" s="162" t="s">
        <v>1111</v>
      </c>
      <c r="AL42" s="228" t="s">
        <v>1111</v>
      </c>
      <c r="AM42" s="168">
        <v>100</v>
      </c>
      <c r="AN42" s="171">
        <f>(AG42*100)/U42</f>
        <v>100</v>
      </c>
    </row>
    <row r="43" spans="1:40" x14ac:dyDescent="0.25">
      <c r="A43" s="179"/>
      <c r="B43" s="179"/>
      <c r="C43" s="179"/>
      <c r="D43" s="179"/>
      <c r="E43" s="179"/>
      <c r="F43" s="179"/>
      <c r="G43" s="179"/>
      <c r="H43" s="179"/>
      <c r="I43" s="179"/>
      <c r="J43" s="179"/>
      <c r="K43" s="179"/>
      <c r="L43" s="179"/>
      <c r="M43" s="180">
        <f>SUM(M30:M42)</f>
        <v>216050000</v>
      </c>
      <c r="N43" s="180"/>
      <c r="O43" s="180"/>
      <c r="P43" s="180"/>
      <c r="Q43" s="180"/>
      <c r="R43" s="180">
        <f>SUM(R30:R42)</f>
        <v>0</v>
      </c>
      <c r="S43" s="180">
        <f>SUM(S30:S42)</f>
        <v>218950000</v>
      </c>
      <c r="T43" s="180">
        <f>SUM(T30:T42)</f>
        <v>0</v>
      </c>
      <c r="U43" s="180">
        <f>SUM(U30:U42)</f>
        <v>220950000</v>
      </c>
      <c r="V43" s="180"/>
      <c r="W43" s="180"/>
      <c r="X43" s="180"/>
      <c r="Y43" s="180"/>
      <c r="Z43" s="180"/>
      <c r="AA43" s="180"/>
      <c r="AB43" s="180"/>
      <c r="AC43" s="180"/>
      <c r="AD43" s="180">
        <f>AG43/U43</f>
        <v>0.5199705815795429</v>
      </c>
      <c r="AE43" s="180"/>
      <c r="AF43" s="180"/>
      <c r="AG43" s="180">
        <f>SUM(AG30:AG42)</f>
        <v>114887500</v>
      </c>
      <c r="AH43" s="179"/>
      <c r="AI43" s="179"/>
      <c r="AJ43" s="179"/>
      <c r="AK43" s="179"/>
      <c r="AL43" s="179"/>
      <c r="AM43" s="179">
        <f>SUM(AM30:AM42)/13</f>
        <v>62.5</v>
      </c>
      <c r="AN43" s="179">
        <f>SUM(AN30:AN42)/13</f>
        <v>62.5</v>
      </c>
    </row>
    <row r="44" spans="1:40" ht="97.5" customHeight="1" x14ac:dyDescent="0.25">
      <c r="A44" s="1049">
        <v>4</v>
      </c>
      <c r="B44" s="1049" t="s">
        <v>390</v>
      </c>
      <c r="C44" s="1049" t="s">
        <v>1351</v>
      </c>
      <c r="D44" s="1049">
        <v>2013</v>
      </c>
      <c r="E44" s="1051" t="s">
        <v>1155</v>
      </c>
      <c r="F44" s="1051" t="s">
        <v>1113</v>
      </c>
      <c r="G44" s="1088">
        <v>355000000</v>
      </c>
      <c r="H44" s="1051" t="s">
        <v>1152</v>
      </c>
      <c r="I44" s="208">
        <v>1</v>
      </c>
      <c r="J44" s="117" t="s">
        <v>1352</v>
      </c>
      <c r="K44" s="117" t="s">
        <v>1125</v>
      </c>
      <c r="L44" s="210" t="s">
        <v>1335</v>
      </c>
      <c r="M44" s="119">
        <v>331775000</v>
      </c>
      <c r="N44" s="117" t="s">
        <v>1133</v>
      </c>
      <c r="O44" s="120">
        <v>41604</v>
      </c>
      <c r="P44" s="120">
        <v>41638</v>
      </c>
      <c r="Q44" s="120">
        <v>41723</v>
      </c>
      <c r="R44" s="117" t="s">
        <v>1131</v>
      </c>
      <c r="S44" s="119">
        <v>355000000</v>
      </c>
      <c r="T44" s="117" t="s">
        <v>1132</v>
      </c>
      <c r="U44" s="121">
        <v>355000000</v>
      </c>
      <c r="V44" s="119">
        <v>165887500</v>
      </c>
      <c r="W44" s="119">
        <v>165887500</v>
      </c>
      <c r="X44" s="119"/>
      <c r="Y44" s="119"/>
      <c r="Z44" s="119"/>
      <c r="AA44" s="119"/>
      <c r="AB44" s="119"/>
      <c r="AC44" s="119"/>
      <c r="AD44" s="119"/>
      <c r="AE44" s="119"/>
      <c r="AF44" s="119"/>
      <c r="AG44" s="119">
        <f>SUM(V44:AF44)</f>
        <v>331775000</v>
      </c>
      <c r="AH44" s="117" t="s">
        <v>237</v>
      </c>
      <c r="AI44" s="117" t="s">
        <v>1160</v>
      </c>
      <c r="AJ44" s="281" t="s">
        <v>1356</v>
      </c>
      <c r="AK44" s="241" t="s">
        <v>1334</v>
      </c>
      <c r="AL44" s="241" t="s">
        <v>1334</v>
      </c>
      <c r="AM44" s="117">
        <v>100</v>
      </c>
      <c r="AN44" s="198">
        <v>100</v>
      </c>
    </row>
    <row r="45" spans="1:40" ht="194.25" customHeight="1" x14ac:dyDescent="0.25">
      <c r="A45" s="1050"/>
      <c r="B45" s="1050"/>
      <c r="C45" s="1050"/>
      <c r="D45" s="1050"/>
      <c r="E45" s="1052"/>
      <c r="F45" s="1052"/>
      <c r="G45" s="1089"/>
      <c r="H45" s="1052"/>
      <c r="I45" s="208">
        <v>2</v>
      </c>
      <c r="J45" s="117" t="s">
        <v>1353</v>
      </c>
      <c r="K45" s="117" t="s">
        <v>1126</v>
      </c>
      <c r="L45" s="282" t="s">
        <v>1127</v>
      </c>
      <c r="M45" s="119">
        <v>23224220</v>
      </c>
      <c r="N45" s="117" t="s">
        <v>1134</v>
      </c>
      <c r="O45" s="117"/>
      <c r="P45" s="120">
        <v>41718</v>
      </c>
      <c r="Q45" s="117"/>
      <c r="R45" s="282"/>
      <c r="S45" s="119"/>
      <c r="T45" s="282"/>
      <c r="U45" s="121"/>
      <c r="V45" s="119">
        <v>23224220</v>
      </c>
      <c r="W45" s="119"/>
      <c r="X45" s="119"/>
      <c r="Y45" s="119"/>
      <c r="Z45" s="119"/>
      <c r="AA45" s="119"/>
      <c r="AB45" s="119"/>
      <c r="AC45" s="119"/>
      <c r="AD45" s="119"/>
      <c r="AE45" s="119"/>
      <c r="AF45" s="119"/>
      <c r="AG45" s="119">
        <f>SUM(V45:AF45)</f>
        <v>23224220</v>
      </c>
      <c r="AH45" s="117"/>
      <c r="AI45" s="117" t="s">
        <v>1145</v>
      </c>
      <c r="AJ45" s="210"/>
      <c r="AK45" s="240" t="s">
        <v>1333</v>
      </c>
      <c r="AL45" s="117"/>
      <c r="AM45" s="117">
        <v>100</v>
      </c>
      <c r="AN45" s="198">
        <v>100</v>
      </c>
    </row>
    <row r="46" spans="1:40" ht="17.25" customHeight="1" x14ac:dyDescent="0.25">
      <c r="A46" s="189"/>
      <c r="B46" s="189"/>
      <c r="C46" s="189"/>
      <c r="D46" s="189"/>
      <c r="E46" s="184"/>
      <c r="F46" s="181"/>
      <c r="G46" s="182"/>
      <c r="H46" s="193"/>
      <c r="I46" s="191"/>
      <c r="J46" s="183"/>
      <c r="K46" s="183"/>
      <c r="L46" s="188"/>
      <c r="M46" s="192">
        <f>SUM(M44:M45)</f>
        <v>354999220</v>
      </c>
      <c r="AG46" s="287">
        <f>SUM(AG44:AG45)</f>
        <v>354999220</v>
      </c>
      <c r="AM46">
        <v>100</v>
      </c>
      <c r="AN46" s="197">
        <v>100</v>
      </c>
    </row>
    <row r="47" spans="1:40" ht="87" customHeight="1" x14ac:dyDescent="0.25">
      <c r="A47" s="1047">
        <v>5</v>
      </c>
      <c r="B47" s="1047" t="s">
        <v>390</v>
      </c>
      <c r="C47" s="1045" t="s">
        <v>1351</v>
      </c>
      <c r="D47" s="1047">
        <v>2013</v>
      </c>
      <c r="E47" s="1045" t="s">
        <v>1155</v>
      </c>
      <c r="F47" s="1098" t="s">
        <v>1114</v>
      </c>
      <c r="G47" s="1100">
        <v>354799950</v>
      </c>
      <c r="H47" s="1098" t="s">
        <v>1130</v>
      </c>
      <c r="I47" s="36">
        <v>1</v>
      </c>
      <c r="J47" s="40" t="s">
        <v>1354</v>
      </c>
      <c r="K47" s="40" t="s">
        <v>1128</v>
      </c>
      <c r="L47" s="40" t="s">
        <v>1129</v>
      </c>
      <c r="M47" s="41">
        <v>336000000</v>
      </c>
      <c r="N47" s="40" t="s">
        <v>1031</v>
      </c>
      <c r="O47" s="195">
        <v>41604</v>
      </c>
      <c r="P47" s="195">
        <v>41634</v>
      </c>
      <c r="Q47" s="195">
        <v>41725</v>
      </c>
      <c r="R47" s="40"/>
      <c r="S47" s="41"/>
      <c r="T47" s="40"/>
      <c r="U47" s="196"/>
      <c r="V47" s="41">
        <v>168000000</v>
      </c>
      <c r="W47" s="41">
        <v>84000000</v>
      </c>
      <c r="X47" s="41">
        <v>84000000</v>
      </c>
      <c r="Y47" s="41"/>
      <c r="Z47" s="41"/>
      <c r="AA47" s="41"/>
      <c r="AB47" s="41"/>
      <c r="AC47" s="41"/>
      <c r="AD47" s="41"/>
      <c r="AE47" s="41"/>
      <c r="AF47" s="41"/>
      <c r="AG47" s="41">
        <f>SUM(V47:AF47)</f>
        <v>336000000</v>
      </c>
      <c r="AH47" s="40" t="s">
        <v>237</v>
      </c>
      <c r="AI47" s="211" t="s">
        <v>1146</v>
      </c>
      <c r="AJ47" s="281" t="s">
        <v>1357</v>
      </c>
      <c r="AK47" s="240" t="s">
        <v>1129</v>
      </c>
      <c r="AL47" s="240" t="s">
        <v>1129</v>
      </c>
      <c r="AM47" s="40">
        <v>100</v>
      </c>
      <c r="AN47" s="199">
        <v>100</v>
      </c>
    </row>
    <row r="48" spans="1:40" ht="182.25" customHeight="1" x14ac:dyDescent="0.25">
      <c r="A48" s="1048"/>
      <c r="B48" s="1048"/>
      <c r="C48" s="1046"/>
      <c r="D48" s="1048"/>
      <c r="E48" s="1046"/>
      <c r="F48" s="1099"/>
      <c r="G48" s="1101"/>
      <c r="H48" s="1099"/>
      <c r="I48" s="36">
        <v>2</v>
      </c>
      <c r="J48" s="40" t="s">
        <v>1355</v>
      </c>
      <c r="K48" s="40" t="s">
        <v>1126</v>
      </c>
      <c r="L48" s="40" t="s">
        <v>1127</v>
      </c>
      <c r="M48" s="41">
        <v>18128456</v>
      </c>
      <c r="N48" s="40" t="s">
        <v>1134</v>
      </c>
      <c r="O48" s="195">
        <v>41604</v>
      </c>
      <c r="P48" s="195">
        <v>41288</v>
      </c>
      <c r="Q48" s="195">
        <v>41725</v>
      </c>
      <c r="R48" s="40"/>
      <c r="S48" s="41"/>
      <c r="T48" s="40"/>
      <c r="U48" s="196"/>
      <c r="V48" s="41">
        <v>18128456</v>
      </c>
      <c r="W48" s="41"/>
      <c r="X48" s="41"/>
      <c r="Y48" s="41"/>
      <c r="Z48" s="41"/>
      <c r="AA48" s="41"/>
      <c r="AB48" s="41"/>
      <c r="AC48" s="41"/>
      <c r="AD48" s="41"/>
      <c r="AE48" s="41"/>
      <c r="AF48" s="41"/>
      <c r="AG48" s="41">
        <f>SUM(V48:AF48)</f>
        <v>18128456</v>
      </c>
      <c r="AH48" s="40"/>
      <c r="AI48" s="40" t="s">
        <v>1145</v>
      </c>
      <c r="AJ48" s="40"/>
      <c r="AK48" s="40" t="s">
        <v>1333</v>
      </c>
      <c r="AL48" s="40"/>
      <c r="AM48" s="40">
        <v>100</v>
      </c>
      <c r="AN48" s="199">
        <v>100</v>
      </c>
    </row>
    <row r="49" spans="1:42" x14ac:dyDescent="0.25">
      <c r="A49" s="216"/>
      <c r="B49" s="216"/>
      <c r="C49" s="216"/>
      <c r="D49" s="217"/>
      <c r="E49" s="212"/>
      <c r="F49" s="194"/>
      <c r="G49" s="185"/>
      <c r="H49" s="187"/>
      <c r="I49" s="218"/>
      <c r="J49" s="219"/>
      <c r="K49" s="186"/>
      <c r="L49" s="186"/>
      <c r="M49" s="41">
        <f>SUM(M47:M48)</f>
        <v>354128456</v>
      </c>
      <c r="N49" s="213"/>
      <c r="O49" s="213"/>
      <c r="P49" s="213"/>
      <c r="Q49" s="213"/>
      <c r="R49" s="213"/>
      <c r="S49" s="214"/>
      <c r="T49" s="213"/>
      <c r="U49" s="215"/>
      <c r="V49" s="214"/>
      <c r="W49" s="214"/>
      <c r="X49" s="214"/>
      <c r="Y49" s="214"/>
      <c r="Z49" s="214"/>
      <c r="AA49" s="214"/>
      <c r="AB49" s="214"/>
      <c r="AC49" s="214"/>
      <c r="AD49" s="214"/>
      <c r="AE49" s="214"/>
      <c r="AF49" s="214"/>
      <c r="AG49" s="214">
        <f>SUM(AG47:AG48)</f>
        <v>354128456</v>
      </c>
      <c r="AH49" s="213"/>
      <c r="AI49" s="213"/>
      <c r="AJ49" s="213"/>
      <c r="AK49" s="213"/>
      <c r="AL49" s="213"/>
      <c r="AM49" s="213">
        <v>100</v>
      </c>
      <c r="AN49" s="220">
        <v>100</v>
      </c>
    </row>
    <row r="50" spans="1:42" ht="97.5" customHeight="1" x14ac:dyDescent="0.25">
      <c r="A50" s="223">
        <v>6</v>
      </c>
      <c r="B50" s="223" t="s">
        <v>390</v>
      </c>
      <c r="C50" s="221" t="s">
        <v>1351</v>
      </c>
      <c r="D50" s="223">
        <v>2013</v>
      </c>
      <c r="E50" s="221" t="s">
        <v>1155</v>
      </c>
      <c r="F50" s="221" t="s">
        <v>1153</v>
      </c>
      <c r="G50" s="222">
        <v>75000000</v>
      </c>
      <c r="H50" s="221" t="s">
        <v>1154</v>
      </c>
      <c r="I50" s="223"/>
      <c r="J50" s="221"/>
      <c r="K50" s="221"/>
      <c r="L50" s="221" t="s">
        <v>1156</v>
      </c>
      <c r="M50" s="224"/>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6"/>
    </row>
    <row r="51" spans="1:42" ht="211.5" customHeight="1" x14ac:dyDescent="0.25">
      <c r="A51" s="1093">
        <v>7</v>
      </c>
      <c r="B51" s="1090" t="s">
        <v>390</v>
      </c>
      <c r="C51" s="1093" t="s">
        <v>1351</v>
      </c>
      <c r="D51" s="1090">
        <v>2013</v>
      </c>
      <c r="E51" s="1093"/>
      <c r="F51" s="1097" t="s">
        <v>1115</v>
      </c>
      <c r="G51" s="1096">
        <v>490000000</v>
      </c>
      <c r="H51" s="1093" t="s">
        <v>1361</v>
      </c>
      <c r="I51" s="190">
        <v>1</v>
      </c>
      <c r="J51" s="200">
        <v>468</v>
      </c>
      <c r="K51" s="201" t="s">
        <v>1117</v>
      </c>
      <c r="L51" s="340" t="s">
        <v>1118</v>
      </c>
      <c r="M51" s="202">
        <v>490000000</v>
      </c>
      <c r="N51" s="201" t="s">
        <v>193</v>
      </c>
      <c r="O51" s="203">
        <v>41429</v>
      </c>
      <c r="P51" s="201" t="s">
        <v>1135</v>
      </c>
      <c r="Q51" s="201"/>
      <c r="R51" s="201" t="s">
        <v>1136</v>
      </c>
      <c r="S51" s="202">
        <v>490000000</v>
      </c>
      <c r="T51" s="201" t="s">
        <v>1137</v>
      </c>
      <c r="U51" s="204">
        <v>490000000</v>
      </c>
      <c r="V51" s="202"/>
      <c r="W51" s="202">
        <v>196000000</v>
      </c>
      <c r="X51" s="202">
        <v>98000000</v>
      </c>
      <c r="Y51" s="202">
        <v>98000000</v>
      </c>
      <c r="Z51" s="202"/>
      <c r="AA51" s="202"/>
      <c r="AB51" s="202"/>
      <c r="AC51" s="202"/>
      <c r="AD51" s="202"/>
      <c r="AE51" s="202"/>
      <c r="AF51" s="202"/>
      <c r="AG51" s="202">
        <f>SUM(V51:AF51)</f>
        <v>392000000</v>
      </c>
      <c r="AH51" s="201" t="s">
        <v>173</v>
      </c>
      <c r="AI51" s="201" t="s">
        <v>1147</v>
      </c>
      <c r="AJ51" s="201" t="s">
        <v>1148</v>
      </c>
      <c r="AK51" s="238" t="s">
        <v>1336</v>
      </c>
      <c r="AL51" s="238" t="s">
        <v>1337</v>
      </c>
      <c r="AM51" s="201">
        <v>100</v>
      </c>
      <c r="AN51" s="197">
        <f t="shared" si="4"/>
        <v>80</v>
      </c>
    </row>
    <row r="52" spans="1:42" ht="240" x14ac:dyDescent="0.25">
      <c r="A52" s="1094"/>
      <c r="B52" s="1091"/>
      <c r="C52" s="1094"/>
      <c r="D52" s="1091"/>
      <c r="E52" s="1094"/>
      <c r="F52" s="1097"/>
      <c r="G52" s="1096"/>
      <c r="H52" s="1094"/>
      <c r="I52" s="190">
        <v>2</v>
      </c>
      <c r="J52" s="200" t="s">
        <v>932</v>
      </c>
      <c r="K52" s="201" t="s">
        <v>933</v>
      </c>
      <c r="L52" s="201" t="s">
        <v>1119</v>
      </c>
      <c r="M52" s="202">
        <v>540000000</v>
      </c>
      <c r="N52" s="201" t="s">
        <v>350</v>
      </c>
      <c r="O52" s="203">
        <v>41501</v>
      </c>
      <c r="P52" s="203">
        <v>41639</v>
      </c>
      <c r="Q52" s="201"/>
      <c r="R52" s="201" t="s">
        <v>1157</v>
      </c>
      <c r="S52" s="202">
        <f>14000000+150000000+70000000+21000000+150000000</f>
        <v>405000000</v>
      </c>
      <c r="T52" s="201" t="s">
        <v>1158</v>
      </c>
      <c r="U52" s="204">
        <f>70000000+14000000+100000000+51000000</f>
        <v>235000000</v>
      </c>
      <c r="V52" s="202"/>
      <c r="W52" s="202">
        <v>78000000</v>
      </c>
      <c r="X52" s="202">
        <v>78000000</v>
      </c>
      <c r="Y52" s="202"/>
      <c r="Z52" s="202"/>
      <c r="AA52" s="202"/>
      <c r="AB52" s="202"/>
      <c r="AC52" s="202"/>
      <c r="AD52" s="202"/>
      <c r="AE52" s="202"/>
      <c r="AF52" s="202"/>
      <c r="AG52" s="202">
        <f>SUM(V52:AF52)</f>
        <v>156000000</v>
      </c>
      <c r="AH52" s="201" t="s">
        <v>1360</v>
      </c>
      <c r="AI52" s="201" t="s">
        <v>1149</v>
      </c>
      <c r="AJ52" s="201" t="s">
        <v>1159</v>
      </c>
      <c r="AK52" s="238" t="s">
        <v>1119</v>
      </c>
      <c r="AL52" s="238" t="s">
        <v>1338</v>
      </c>
      <c r="AM52" s="201">
        <v>80</v>
      </c>
      <c r="AN52" s="197">
        <f t="shared" si="4"/>
        <v>66.38297872340425</v>
      </c>
    </row>
    <row r="53" spans="1:42" ht="120" x14ac:dyDescent="0.25">
      <c r="A53" s="1094"/>
      <c r="B53" s="1091"/>
      <c r="C53" s="1094"/>
      <c r="D53" s="1091"/>
      <c r="E53" s="1094"/>
      <c r="F53" s="1097"/>
      <c r="G53" s="1096"/>
      <c r="H53" s="1094"/>
      <c r="I53" s="190">
        <v>3</v>
      </c>
      <c r="J53" s="200">
        <v>1082</v>
      </c>
      <c r="K53" s="201" t="s">
        <v>1120</v>
      </c>
      <c r="L53" s="201" t="s">
        <v>1121</v>
      </c>
      <c r="M53" s="202">
        <v>66000000</v>
      </c>
      <c r="N53" s="201" t="s">
        <v>1031</v>
      </c>
      <c r="O53" s="203">
        <v>41596</v>
      </c>
      <c r="P53" s="203">
        <v>41639</v>
      </c>
      <c r="Q53" s="201"/>
      <c r="R53" s="201" t="s">
        <v>1138</v>
      </c>
      <c r="S53" s="202">
        <f>40000000 + 60000000</f>
        <v>100000000</v>
      </c>
      <c r="T53" s="201" t="s">
        <v>1139</v>
      </c>
      <c r="U53" s="204">
        <f>20000000+40000000</f>
        <v>60000000</v>
      </c>
      <c r="V53" s="202"/>
      <c r="W53" s="202">
        <v>30000000</v>
      </c>
      <c r="X53" s="202">
        <v>30000000</v>
      </c>
      <c r="Y53" s="202"/>
      <c r="Z53" s="202"/>
      <c r="AA53" s="202"/>
      <c r="AB53" s="202"/>
      <c r="AC53" s="202"/>
      <c r="AD53" s="202"/>
      <c r="AE53" s="202"/>
      <c r="AF53" s="202"/>
      <c r="AG53" s="202">
        <f>SUM(V53:AF53)</f>
        <v>60000000</v>
      </c>
      <c r="AH53" s="201" t="s">
        <v>237</v>
      </c>
      <c r="AI53" s="201" t="s">
        <v>1149</v>
      </c>
      <c r="AJ53" s="201" t="s">
        <v>1150</v>
      </c>
      <c r="AK53" s="238" t="s">
        <v>1121</v>
      </c>
      <c r="AL53" s="238" t="s">
        <v>1339</v>
      </c>
      <c r="AM53" s="201">
        <v>100</v>
      </c>
      <c r="AN53" s="197">
        <f t="shared" si="4"/>
        <v>100</v>
      </c>
    </row>
    <row r="54" spans="1:42" ht="190.5" customHeight="1" x14ac:dyDescent="0.25">
      <c r="A54" s="1094"/>
      <c r="B54" s="1091"/>
      <c r="C54" s="1094"/>
      <c r="D54" s="1091"/>
      <c r="E54" s="1094"/>
      <c r="F54" s="1097"/>
      <c r="G54" s="1096"/>
      <c r="H54" s="1094"/>
      <c r="I54" s="190">
        <v>4</v>
      </c>
      <c r="J54" s="200">
        <v>1083</v>
      </c>
      <c r="K54" s="201" t="s">
        <v>1122</v>
      </c>
      <c r="L54" s="201" t="s">
        <v>1123</v>
      </c>
      <c r="M54" s="202">
        <v>55000000</v>
      </c>
      <c r="N54" s="201" t="s">
        <v>1031</v>
      </c>
      <c r="O54" s="203">
        <v>41596</v>
      </c>
      <c r="P54" s="203">
        <v>41639</v>
      </c>
      <c r="Q54" s="201"/>
      <c r="R54" s="201" t="s">
        <v>1140</v>
      </c>
      <c r="S54" s="202">
        <v>50000000</v>
      </c>
      <c r="T54" s="201" t="s">
        <v>1141</v>
      </c>
      <c r="U54" s="204">
        <v>50000000</v>
      </c>
      <c r="V54" s="202"/>
      <c r="W54" s="202">
        <v>25000000</v>
      </c>
      <c r="X54" s="202">
        <v>25000000</v>
      </c>
      <c r="Y54" s="202"/>
      <c r="Z54" s="202"/>
      <c r="AA54" s="202"/>
      <c r="AB54" s="202"/>
      <c r="AC54" s="202"/>
      <c r="AD54" s="202"/>
      <c r="AE54" s="202"/>
      <c r="AF54" s="202"/>
      <c r="AG54" s="202">
        <f>SUM(V54:AF54)</f>
        <v>50000000</v>
      </c>
      <c r="AH54" s="201" t="s">
        <v>237</v>
      </c>
      <c r="AI54" s="201" t="s">
        <v>1149</v>
      </c>
      <c r="AJ54" s="201" t="s">
        <v>1151</v>
      </c>
      <c r="AK54" s="238" t="s">
        <v>1123</v>
      </c>
      <c r="AL54" s="238" t="s">
        <v>1340</v>
      </c>
      <c r="AM54" s="201">
        <v>100</v>
      </c>
      <c r="AN54" s="197">
        <f t="shared" si="4"/>
        <v>100</v>
      </c>
    </row>
    <row r="55" spans="1:42" ht="161.25" customHeight="1" x14ac:dyDescent="0.25">
      <c r="A55" s="1095"/>
      <c r="B55" s="1092"/>
      <c r="C55" s="1095"/>
      <c r="D55" s="1092"/>
      <c r="E55" s="1095"/>
      <c r="F55" s="1097"/>
      <c r="G55" s="1096"/>
      <c r="H55" s="1095"/>
      <c r="I55" s="190">
        <v>5</v>
      </c>
      <c r="J55" s="200">
        <v>1088</v>
      </c>
      <c r="K55" s="201" t="s">
        <v>1122</v>
      </c>
      <c r="L55" s="201" t="s">
        <v>1124</v>
      </c>
      <c r="M55" s="202">
        <v>168726800</v>
      </c>
      <c r="N55" s="201" t="s">
        <v>1031</v>
      </c>
      <c r="O55" s="203">
        <v>41593</v>
      </c>
      <c r="P55" s="203">
        <v>41639</v>
      </c>
      <c r="Q55" s="203" t="s">
        <v>1142</v>
      </c>
      <c r="R55" s="201" t="s">
        <v>1143</v>
      </c>
      <c r="S55" s="202">
        <f>112000000+ 60000000</f>
        <v>172000000</v>
      </c>
      <c r="T55" s="201" t="s">
        <v>1144</v>
      </c>
      <c r="U55" s="204">
        <f>40000000+112000000</f>
        <v>152000000</v>
      </c>
      <c r="V55" s="202"/>
      <c r="W55" s="202">
        <v>76000000</v>
      </c>
      <c r="X55" s="202">
        <v>76000000</v>
      </c>
      <c r="Y55" s="202"/>
      <c r="Z55" s="202"/>
      <c r="AA55" s="202"/>
      <c r="AB55" s="202"/>
      <c r="AC55" s="202"/>
      <c r="AD55" s="202"/>
      <c r="AE55" s="202"/>
      <c r="AF55" s="202"/>
      <c r="AG55" s="202">
        <f>SUM(V55:AF55)</f>
        <v>152000000</v>
      </c>
      <c r="AH55" s="201" t="s">
        <v>237</v>
      </c>
      <c r="AI55" s="201" t="s">
        <v>1149</v>
      </c>
      <c r="AJ55" s="201" t="s">
        <v>1366</v>
      </c>
      <c r="AK55" s="238" t="s">
        <v>1124</v>
      </c>
      <c r="AL55" s="238" t="s">
        <v>1341</v>
      </c>
      <c r="AM55" s="201">
        <v>100</v>
      </c>
      <c r="AN55" s="197">
        <f t="shared" si="4"/>
        <v>100</v>
      </c>
    </row>
    <row r="56" spans="1:42" x14ac:dyDescent="0.25">
      <c r="A56" s="207"/>
      <c r="B56" s="207"/>
      <c r="C56" s="207"/>
      <c r="D56" s="207"/>
      <c r="E56" s="207"/>
      <c r="F56" s="201"/>
      <c r="G56" s="206"/>
      <c r="H56" s="209"/>
      <c r="I56" s="207"/>
      <c r="J56" s="200"/>
      <c r="K56" s="201"/>
      <c r="L56" s="201"/>
      <c r="M56" s="202">
        <f>SUM(M51:M55)</f>
        <v>1319726800</v>
      </c>
      <c r="N56" s="202"/>
      <c r="O56" s="202"/>
      <c r="P56" s="202"/>
      <c r="Q56" s="202"/>
      <c r="R56" s="202"/>
      <c r="S56" s="202"/>
      <c r="T56" s="202"/>
      <c r="U56" s="202">
        <f>SUM(U51:U55)</f>
        <v>987000000</v>
      </c>
      <c r="V56" s="205"/>
      <c r="W56" s="205"/>
      <c r="X56" s="205"/>
      <c r="Y56" s="205"/>
      <c r="Z56" s="205"/>
      <c r="AA56" s="205"/>
      <c r="AB56" s="205"/>
      <c r="AC56" s="205"/>
      <c r="AD56" s="205"/>
      <c r="AE56" s="205"/>
      <c r="AF56" s="205"/>
      <c r="AG56" s="288">
        <f>SUM(AG51:AG55)</f>
        <v>810000000</v>
      </c>
      <c r="AH56" s="205"/>
      <c r="AI56" s="205"/>
      <c r="AJ56" s="205"/>
      <c r="AK56" s="205"/>
      <c r="AL56" s="205"/>
      <c r="AM56" s="197">
        <f>SUM(AM51:AM55)/5</f>
        <v>96</v>
      </c>
      <c r="AN56" s="197">
        <f>SUM(AN51:AN55)/5</f>
        <v>89.276595744680847</v>
      </c>
    </row>
    <row r="57" spans="1:42" ht="115.5" customHeight="1" x14ac:dyDescent="0.25">
      <c r="A57" s="1059">
        <v>8</v>
      </c>
      <c r="B57" s="1059" t="s">
        <v>390</v>
      </c>
      <c r="C57" s="1059" t="s">
        <v>1351</v>
      </c>
      <c r="D57" s="1059">
        <v>2013</v>
      </c>
      <c r="E57" s="1059"/>
      <c r="F57" s="1059" t="s">
        <v>1161</v>
      </c>
      <c r="G57" s="1061">
        <v>96400000</v>
      </c>
      <c r="H57" s="1059" t="s">
        <v>1162</v>
      </c>
      <c r="I57" s="242">
        <v>1</v>
      </c>
      <c r="J57" s="242" t="s">
        <v>1163</v>
      </c>
      <c r="K57" s="242" t="s">
        <v>1164</v>
      </c>
      <c r="L57" s="242" t="s">
        <v>1165</v>
      </c>
      <c r="M57" s="243">
        <v>36400000</v>
      </c>
      <c r="N57" s="242" t="s">
        <v>1166</v>
      </c>
      <c r="O57" s="244">
        <v>41508</v>
      </c>
      <c r="P57" s="244">
        <v>41639</v>
      </c>
      <c r="Q57" s="244">
        <v>41639</v>
      </c>
      <c r="R57" s="242" t="s">
        <v>1167</v>
      </c>
      <c r="S57" s="243">
        <v>36400000</v>
      </c>
      <c r="T57" s="242" t="s">
        <v>1168</v>
      </c>
      <c r="U57" s="245">
        <v>36400000</v>
      </c>
      <c r="V57" s="243">
        <v>14560000</v>
      </c>
      <c r="W57" s="243">
        <v>10920000</v>
      </c>
      <c r="X57" s="243">
        <v>10920000</v>
      </c>
      <c r="Y57" s="243"/>
      <c r="Z57" s="243"/>
      <c r="AA57" s="243"/>
      <c r="AB57" s="243"/>
      <c r="AC57" s="243"/>
      <c r="AD57" s="243"/>
      <c r="AE57" s="243"/>
      <c r="AF57" s="243"/>
      <c r="AG57" s="243">
        <f>SUM(V57:AF57)</f>
        <v>36400000</v>
      </c>
      <c r="AH57" s="242" t="s">
        <v>1169</v>
      </c>
      <c r="AI57" s="242" t="s">
        <v>1170</v>
      </c>
      <c r="AJ57" s="242"/>
      <c r="AK57" s="242" t="s">
        <v>1171</v>
      </c>
      <c r="AL57" s="242" t="s">
        <v>1172</v>
      </c>
      <c r="AM57" s="242">
        <v>100</v>
      </c>
      <c r="AN57" s="246">
        <f t="shared" si="4"/>
        <v>100</v>
      </c>
    </row>
    <row r="58" spans="1:42" ht="133.5" customHeight="1" x14ac:dyDescent="0.25">
      <c r="A58" s="1060"/>
      <c r="B58" s="1060"/>
      <c r="C58" s="1060"/>
      <c r="D58" s="1060"/>
      <c r="E58" s="1060"/>
      <c r="F58" s="1060"/>
      <c r="G58" s="1062"/>
      <c r="H58" s="1060"/>
      <c r="I58" s="242">
        <v>2</v>
      </c>
      <c r="J58" s="242" t="s">
        <v>1173</v>
      </c>
      <c r="K58" s="242" t="s">
        <v>1164</v>
      </c>
      <c r="L58" s="242" t="s">
        <v>1174</v>
      </c>
      <c r="M58" s="243">
        <v>60000000</v>
      </c>
      <c r="N58" s="242" t="s">
        <v>1166</v>
      </c>
      <c r="O58" s="244">
        <v>41508</v>
      </c>
      <c r="P58" s="244">
        <v>41639</v>
      </c>
      <c r="Q58" s="244">
        <v>41639</v>
      </c>
      <c r="R58" s="242" t="s">
        <v>1175</v>
      </c>
      <c r="S58" s="243">
        <v>60000000</v>
      </c>
      <c r="T58" s="242" t="s">
        <v>1176</v>
      </c>
      <c r="U58" s="245">
        <v>60000000</v>
      </c>
      <c r="V58" s="243">
        <v>24000000</v>
      </c>
      <c r="W58" s="243">
        <v>18000000</v>
      </c>
      <c r="X58" s="243"/>
      <c r="Y58" s="243"/>
      <c r="Z58" s="243"/>
      <c r="AA58" s="243"/>
      <c r="AB58" s="243"/>
      <c r="AC58" s="243"/>
      <c r="AD58" s="243"/>
      <c r="AE58" s="243"/>
      <c r="AF58" s="243"/>
      <c r="AG58" s="243">
        <f>SUM(V58:AF58)</f>
        <v>42000000</v>
      </c>
      <c r="AH58" s="242" t="s">
        <v>1169</v>
      </c>
      <c r="AI58" s="242" t="s">
        <v>1170</v>
      </c>
      <c r="AJ58" s="242" t="s">
        <v>1177</v>
      </c>
      <c r="AK58" s="242" t="s">
        <v>1178</v>
      </c>
      <c r="AL58" s="242" t="s">
        <v>1179</v>
      </c>
      <c r="AM58" s="242">
        <v>100</v>
      </c>
      <c r="AN58" s="246">
        <f t="shared" si="4"/>
        <v>70</v>
      </c>
    </row>
    <row r="59" spans="1:42" x14ac:dyDescent="0.25">
      <c r="A59" s="247"/>
      <c r="B59" s="247"/>
      <c r="C59" s="247"/>
      <c r="D59" s="247"/>
      <c r="E59" s="247"/>
      <c r="F59" s="247"/>
      <c r="G59" s="247"/>
      <c r="H59" s="247"/>
      <c r="I59" s="242"/>
      <c r="J59" s="247"/>
      <c r="K59" s="247"/>
      <c r="L59" s="247"/>
      <c r="M59" s="286">
        <f>SUM(M57:M58)</f>
        <v>96400000</v>
      </c>
      <c r="N59" s="247"/>
      <c r="O59" s="247"/>
      <c r="P59" s="247"/>
      <c r="Q59" s="247"/>
      <c r="R59" s="247"/>
      <c r="S59" s="247"/>
      <c r="T59" s="247"/>
      <c r="U59" s="286">
        <f>SUM(U57:U58)</f>
        <v>96400000</v>
      </c>
      <c r="V59" s="247"/>
      <c r="W59" s="247"/>
      <c r="X59" s="247"/>
      <c r="Y59" s="247"/>
      <c r="Z59" s="247"/>
      <c r="AA59" s="247"/>
      <c r="AB59" s="247"/>
      <c r="AC59" s="247"/>
      <c r="AD59" s="247"/>
      <c r="AE59" s="247"/>
      <c r="AF59" s="247"/>
      <c r="AG59" s="286">
        <f>SUM(AG57:AG58)</f>
        <v>78400000</v>
      </c>
      <c r="AH59" s="247"/>
      <c r="AI59" s="247"/>
      <c r="AJ59" s="247"/>
      <c r="AK59" s="247"/>
      <c r="AL59" s="247"/>
      <c r="AM59" s="247">
        <f>SUM(AM57:AM58)/2</f>
        <v>100</v>
      </c>
      <c r="AN59" s="247">
        <f>SUM(AN57:AN58)/2</f>
        <v>85</v>
      </c>
    </row>
    <row r="60" spans="1:42" ht="195" x14ac:dyDescent="0.25">
      <c r="A60" s="1063">
        <v>9</v>
      </c>
      <c r="B60" s="1064" t="s">
        <v>390</v>
      </c>
      <c r="C60" s="1064" t="s">
        <v>1351</v>
      </c>
      <c r="D60" s="1064">
        <v>2013</v>
      </c>
      <c r="E60" s="1064"/>
      <c r="F60" s="1067" t="s">
        <v>1180</v>
      </c>
      <c r="G60" s="1070">
        <v>10000000000</v>
      </c>
      <c r="H60" s="1067" t="s">
        <v>1181</v>
      </c>
      <c r="I60" s="253">
        <v>1</v>
      </c>
      <c r="J60" s="249" t="s">
        <v>1182</v>
      </c>
      <c r="K60" s="249" t="s">
        <v>1183</v>
      </c>
      <c r="L60" s="249" t="s">
        <v>1184</v>
      </c>
      <c r="M60" s="254">
        <v>2900000000</v>
      </c>
      <c r="N60" s="253" t="s">
        <v>1185</v>
      </c>
      <c r="O60" s="255">
        <v>41628</v>
      </c>
      <c r="P60" s="255">
        <v>41993</v>
      </c>
      <c r="Q60" s="255">
        <v>41993</v>
      </c>
      <c r="R60" s="249" t="s">
        <v>1186</v>
      </c>
      <c r="S60" s="254">
        <v>3240000000</v>
      </c>
      <c r="T60" s="249" t="s">
        <v>1187</v>
      </c>
      <c r="U60" s="254">
        <v>435000000</v>
      </c>
      <c r="V60" s="253"/>
      <c r="W60" s="254">
        <v>271771200</v>
      </c>
      <c r="X60" s="254">
        <v>1472065980</v>
      </c>
      <c r="Y60" s="253"/>
      <c r="Z60" s="253"/>
      <c r="AA60" s="253"/>
      <c r="AB60" s="253"/>
      <c r="AC60" s="253"/>
      <c r="AD60" s="253"/>
      <c r="AE60" s="253"/>
      <c r="AF60" s="253"/>
      <c r="AG60" s="256">
        <f>SUM(V60+W60+X60+Y60+Z60+AB60+AC60+AD60+AF60)</f>
        <v>1743837180</v>
      </c>
      <c r="AH60" s="253" t="s">
        <v>1299</v>
      </c>
      <c r="AI60" s="249" t="s">
        <v>1300</v>
      </c>
      <c r="AJ60" s="249" t="s">
        <v>1188</v>
      </c>
      <c r="AK60" s="249" t="s">
        <v>1189</v>
      </c>
      <c r="AL60" s="249" t="s">
        <v>1190</v>
      </c>
      <c r="AM60" s="253">
        <v>20</v>
      </c>
      <c r="AN60" s="257">
        <v>100</v>
      </c>
      <c r="AO60" s="283"/>
      <c r="AP60" s="284"/>
    </row>
    <row r="61" spans="1:42" ht="135" x14ac:dyDescent="0.25">
      <c r="A61" s="1063"/>
      <c r="B61" s="1065"/>
      <c r="C61" s="1065"/>
      <c r="D61" s="1065"/>
      <c r="E61" s="1065"/>
      <c r="F61" s="1068"/>
      <c r="G61" s="1071"/>
      <c r="H61" s="1068"/>
      <c r="I61" s="249">
        <v>2</v>
      </c>
      <c r="J61" s="249" t="s">
        <v>1191</v>
      </c>
      <c r="K61" s="249" t="s">
        <v>1192</v>
      </c>
      <c r="L61" s="249" t="s">
        <v>1193</v>
      </c>
      <c r="M61" s="250">
        <v>1100000000</v>
      </c>
      <c r="N61" s="249" t="s">
        <v>1185</v>
      </c>
      <c r="O61" s="251">
        <v>41634</v>
      </c>
      <c r="P61" s="251">
        <v>41998</v>
      </c>
      <c r="Q61" s="251">
        <v>41998</v>
      </c>
      <c r="R61" s="249" t="s">
        <v>1194</v>
      </c>
      <c r="S61" s="250">
        <v>1100000000</v>
      </c>
      <c r="T61" s="249" t="s">
        <v>1195</v>
      </c>
      <c r="U61" s="252">
        <v>165000000</v>
      </c>
      <c r="V61" s="250"/>
      <c r="W61" s="250">
        <v>268435623</v>
      </c>
      <c r="X61" s="250"/>
      <c r="Y61" s="250"/>
      <c r="Z61" s="250"/>
      <c r="AA61" s="250"/>
      <c r="AB61" s="250"/>
      <c r="AC61" s="250"/>
      <c r="AD61" s="250"/>
      <c r="AE61" s="250"/>
      <c r="AF61" s="250"/>
      <c r="AG61" s="256">
        <f>SUM(V61+W61+X61+Y61+Z61+AB61+AC61+AD61+AF61)</f>
        <v>268435623</v>
      </c>
      <c r="AH61" s="249" t="s">
        <v>265</v>
      </c>
      <c r="AI61" s="249" t="s">
        <v>1170</v>
      </c>
      <c r="AJ61" s="249" t="s">
        <v>1196</v>
      </c>
      <c r="AK61" s="249" t="s">
        <v>1197</v>
      </c>
      <c r="AL61" s="249" t="s">
        <v>1198</v>
      </c>
      <c r="AM61" s="249">
        <v>20</v>
      </c>
      <c r="AN61" s="257">
        <v>100</v>
      </c>
    </row>
    <row r="62" spans="1:42" ht="150" x14ac:dyDescent="0.25">
      <c r="A62" s="1063"/>
      <c r="B62" s="1066"/>
      <c r="C62" s="1066"/>
      <c r="D62" s="1066"/>
      <c r="E62" s="1066"/>
      <c r="F62" s="1069"/>
      <c r="G62" s="1072"/>
      <c r="H62" s="1069"/>
      <c r="I62" s="249">
        <v>3</v>
      </c>
      <c r="J62" s="249" t="s">
        <v>1199</v>
      </c>
      <c r="K62" s="249" t="s">
        <v>1200</v>
      </c>
      <c r="L62" s="249" t="s">
        <v>1201</v>
      </c>
      <c r="M62" s="250">
        <v>850000000</v>
      </c>
      <c r="N62" s="249" t="s">
        <v>1185</v>
      </c>
      <c r="O62" s="251">
        <v>41639</v>
      </c>
      <c r="P62" s="251">
        <v>42003</v>
      </c>
      <c r="Q62" s="251">
        <v>42003</v>
      </c>
      <c r="R62" s="249" t="s">
        <v>1202</v>
      </c>
      <c r="S62" s="250">
        <v>127500000</v>
      </c>
      <c r="T62" s="249" t="s">
        <v>1203</v>
      </c>
      <c r="U62" s="252">
        <v>127500000</v>
      </c>
      <c r="V62" s="250"/>
      <c r="W62" s="250"/>
      <c r="X62" s="250"/>
      <c r="Y62" s="250"/>
      <c r="Z62" s="250"/>
      <c r="AA62" s="250"/>
      <c r="AB62" s="250"/>
      <c r="AC62" s="250"/>
      <c r="AD62" s="250"/>
      <c r="AE62" s="250"/>
      <c r="AF62" s="250"/>
      <c r="AG62" s="250"/>
      <c r="AH62" s="249" t="s">
        <v>547</v>
      </c>
      <c r="AI62" s="249" t="s">
        <v>1170</v>
      </c>
      <c r="AJ62" s="249" t="s">
        <v>1204</v>
      </c>
      <c r="AK62" s="249"/>
      <c r="AL62" s="249"/>
      <c r="AM62" s="249">
        <v>20</v>
      </c>
      <c r="AN62" s="257">
        <f t="shared" si="4"/>
        <v>0</v>
      </c>
    </row>
    <row r="63" spans="1:42" x14ac:dyDescent="0.25">
      <c r="A63" s="248"/>
      <c r="B63" s="248"/>
      <c r="C63" s="248"/>
      <c r="D63" s="248"/>
      <c r="E63" s="248"/>
      <c r="F63" s="248"/>
      <c r="G63" s="248"/>
      <c r="H63" s="248"/>
      <c r="I63" s="248"/>
      <c r="J63" s="248"/>
      <c r="K63" s="248"/>
      <c r="L63" s="248"/>
      <c r="M63" s="285">
        <f>SUM(M60:M62)</f>
        <v>4850000000</v>
      </c>
      <c r="N63" s="248"/>
      <c r="O63" s="248"/>
      <c r="P63" s="248"/>
      <c r="Q63" s="248"/>
      <c r="R63" s="248"/>
      <c r="S63" s="248"/>
      <c r="T63" s="248"/>
      <c r="U63" s="285">
        <f>SUM(U60:U62)</f>
        <v>727500000</v>
      </c>
      <c r="V63" s="248"/>
      <c r="W63" s="248"/>
      <c r="X63" s="248"/>
      <c r="Y63" s="248"/>
      <c r="Z63" s="248"/>
      <c r="AA63" s="248"/>
      <c r="AB63" s="248"/>
      <c r="AC63" s="248"/>
      <c r="AD63" s="248"/>
      <c r="AE63" s="248"/>
      <c r="AF63" s="248"/>
      <c r="AG63" s="285">
        <f>SUM(AG60:AG62)</f>
        <v>2012272803</v>
      </c>
      <c r="AH63" s="248"/>
      <c r="AI63" s="248"/>
      <c r="AJ63" s="248"/>
      <c r="AK63" s="248"/>
      <c r="AL63" s="248"/>
      <c r="AM63" s="248">
        <f>SUM(AM60:AM62)/3</f>
        <v>20</v>
      </c>
      <c r="AN63" s="351">
        <f>SUM(AN60:AN62)/3</f>
        <v>66.666666666666671</v>
      </c>
    </row>
    <row r="64" spans="1:42" ht="120" x14ac:dyDescent="0.25">
      <c r="A64" s="1053">
        <v>10</v>
      </c>
      <c r="B64" s="1053" t="s">
        <v>390</v>
      </c>
      <c r="C64" s="1053" t="s">
        <v>1351</v>
      </c>
      <c r="D64" s="1053">
        <v>2013</v>
      </c>
      <c r="E64" s="1053"/>
      <c r="F64" s="1053" t="s">
        <v>1205</v>
      </c>
      <c r="G64" s="1056">
        <v>2944008000</v>
      </c>
      <c r="H64" s="1053" t="s">
        <v>1206</v>
      </c>
      <c r="I64" s="258">
        <v>1</v>
      </c>
      <c r="J64" s="258" t="s">
        <v>1207</v>
      </c>
      <c r="K64" s="258" t="s">
        <v>1208</v>
      </c>
      <c r="L64" s="258" t="s">
        <v>1209</v>
      </c>
      <c r="M64" s="259">
        <v>105000000</v>
      </c>
      <c r="N64" s="258" t="s">
        <v>1210</v>
      </c>
      <c r="O64" s="260">
        <v>41429</v>
      </c>
      <c r="P64" s="260">
        <v>41639</v>
      </c>
      <c r="Q64" s="260">
        <v>41820</v>
      </c>
      <c r="R64" s="258" t="s">
        <v>1368</v>
      </c>
      <c r="S64" s="259">
        <v>105000000</v>
      </c>
      <c r="T64" s="258" t="s">
        <v>1211</v>
      </c>
      <c r="U64" s="261">
        <v>105000000</v>
      </c>
      <c r="V64" s="259"/>
      <c r="W64" s="259">
        <v>17569942</v>
      </c>
      <c r="X64" s="259">
        <v>4068275</v>
      </c>
      <c r="Y64" s="259">
        <v>7020997</v>
      </c>
      <c r="Z64" s="259">
        <v>4174258</v>
      </c>
      <c r="AA64" s="259">
        <v>2400188</v>
      </c>
      <c r="AB64" s="259">
        <v>99469</v>
      </c>
      <c r="AC64" s="259"/>
      <c r="AD64" s="259"/>
      <c r="AE64" s="259"/>
      <c r="AF64" s="259"/>
      <c r="AG64" s="259">
        <f>SUM(W64:AF64)</f>
        <v>35333129</v>
      </c>
      <c r="AH64" s="258" t="s">
        <v>265</v>
      </c>
      <c r="AI64" s="258" t="s">
        <v>1212</v>
      </c>
      <c r="AJ64" s="258" t="s">
        <v>1213</v>
      </c>
      <c r="AK64" s="258" t="s">
        <v>1214</v>
      </c>
      <c r="AL64" s="258" t="s">
        <v>1215</v>
      </c>
      <c r="AM64" s="258">
        <v>80</v>
      </c>
      <c r="AN64" s="262">
        <f t="shared" si="4"/>
        <v>33.650599047619046</v>
      </c>
    </row>
    <row r="65" spans="1:40" ht="120" x14ac:dyDescent="0.25">
      <c r="A65" s="1054"/>
      <c r="B65" s="1054"/>
      <c r="C65" s="1054"/>
      <c r="D65" s="1054"/>
      <c r="E65" s="1054"/>
      <c r="F65" s="1054"/>
      <c r="G65" s="1057"/>
      <c r="H65" s="1054"/>
      <c r="I65" s="258">
        <v>2</v>
      </c>
      <c r="J65" s="258" t="s">
        <v>1216</v>
      </c>
      <c r="K65" s="258" t="s">
        <v>1217</v>
      </c>
      <c r="L65" s="258" t="s">
        <v>1209</v>
      </c>
      <c r="M65" s="259">
        <v>42000000</v>
      </c>
      <c r="N65" s="258" t="s">
        <v>1218</v>
      </c>
      <c r="O65" s="260">
        <v>41439</v>
      </c>
      <c r="P65" s="260">
        <v>41639</v>
      </c>
      <c r="Q65" s="260">
        <v>41820</v>
      </c>
      <c r="R65" s="258" t="s">
        <v>1369</v>
      </c>
      <c r="S65" s="259">
        <v>42000000</v>
      </c>
      <c r="T65" s="258" t="s">
        <v>1219</v>
      </c>
      <c r="U65" s="261">
        <v>42000000</v>
      </c>
      <c r="V65" s="259"/>
      <c r="W65" s="259">
        <v>3726035</v>
      </c>
      <c r="X65" s="259">
        <v>1198844</v>
      </c>
      <c r="Y65" s="259">
        <v>703904</v>
      </c>
      <c r="Z65" s="259">
        <v>487660</v>
      </c>
      <c r="AA65" s="259">
        <v>1351319</v>
      </c>
      <c r="AB65" s="259"/>
      <c r="AC65" s="259"/>
      <c r="AD65" s="259"/>
      <c r="AE65" s="259"/>
      <c r="AF65" s="259"/>
      <c r="AG65" s="259">
        <f t="shared" ref="AG65:AG70" si="5">SUM(W65:AF65)</f>
        <v>7467762</v>
      </c>
      <c r="AH65" s="258" t="s">
        <v>265</v>
      </c>
      <c r="AI65" s="258" t="s">
        <v>1212</v>
      </c>
      <c r="AJ65" s="258" t="s">
        <v>1220</v>
      </c>
      <c r="AK65" s="258" t="s">
        <v>1221</v>
      </c>
      <c r="AL65" s="258" t="s">
        <v>1222</v>
      </c>
      <c r="AM65" s="258">
        <v>80</v>
      </c>
      <c r="AN65" s="262">
        <f t="shared" si="4"/>
        <v>17.780385714285714</v>
      </c>
    </row>
    <row r="66" spans="1:40" ht="180" x14ac:dyDescent="0.25">
      <c r="A66" s="1054"/>
      <c r="B66" s="1054"/>
      <c r="C66" s="1054"/>
      <c r="D66" s="1054"/>
      <c r="E66" s="1054"/>
      <c r="F66" s="1054"/>
      <c r="G66" s="1057"/>
      <c r="H66" s="1054"/>
      <c r="I66" s="258">
        <v>3</v>
      </c>
      <c r="J66" s="258" t="s">
        <v>1223</v>
      </c>
      <c r="K66" s="258" t="s">
        <v>1224</v>
      </c>
      <c r="L66" s="258" t="s">
        <v>1209</v>
      </c>
      <c r="M66" s="259">
        <v>168000000</v>
      </c>
      <c r="N66" s="258" t="s">
        <v>1225</v>
      </c>
      <c r="O66" s="260">
        <v>41452</v>
      </c>
      <c r="P66" s="260">
        <v>41639</v>
      </c>
      <c r="Q66" s="260">
        <v>41820</v>
      </c>
      <c r="R66" s="258" t="s">
        <v>1226</v>
      </c>
      <c r="S66" s="259">
        <v>168000000</v>
      </c>
      <c r="T66" s="258" t="s">
        <v>1227</v>
      </c>
      <c r="U66" s="261">
        <v>168000000</v>
      </c>
      <c r="V66" s="259"/>
      <c r="W66" s="259">
        <v>7488720</v>
      </c>
      <c r="X66" s="259">
        <v>22773960</v>
      </c>
      <c r="Y66" s="259">
        <v>25660530</v>
      </c>
      <c r="Z66" s="259">
        <v>18245790</v>
      </c>
      <c r="AA66" s="259">
        <v>15257700</v>
      </c>
      <c r="AB66" s="259"/>
      <c r="AC66" s="259"/>
      <c r="AD66" s="259"/>
      <c r="AE66" s="259"/>
      <c r="AF66" s="259"/>
      <c r="AG66" s="259">
        <f t="shared" si="5"/>
        <v>89426700</v>
      </c>
      <c r="AH66" s="258" t="s">
        <v>265</v>
      </c>
      <c r="AI66" s="258" t="s">
        <v>1212</v>
      </c>
      <c r="AJ66" s="258" t="s">
        <v>1228</v>
      </c>
      <c r="AK66" s="258" t="s">
        <v>1221</v>
      </c>
      <c r="AL66" s="258" t="s">
        <v>1222</v>
      </c>
      <c r="AM66" s="258">
        <v>80</v>
      </c>
      <c r="AN66" s="262">
        <f t="shared" si="4"/>
        <v>53.230178571428574</v>
      </c>
    </row>
    <row r="67" spans="1:40" ht="120" x14ac:dyDescent="0.25">
      <c r="A67" s="1054"/>
      <c r="B67" s="1054"/>
      <c r="C67" s="1054"/>
      <c r="D67" s="1054"/>
      <c r="E67" s="1054"/>
      <c r="F67" s="1054"/>
      <c r="G67" s="1057"/>
      <c r="H67" s="1054"/>
      <c r="I67" s="258">
        <v>4</v>
      </c>
      <c r="J67" s="258" t="s">
        <v>1229</v>
      </c>
      <c r="K67" s="258" t="s">
        <v>1230</v>
      </c>
      <c r="L67" s="258" t="s">
        <v>1209</v>
      </c>
      <c r="M67" s="259">
        <v>654000000</v>
      </c>
      <c r="N67" s="258" t="s">
        <v>1231</v>
      </c>
      <c r="O67" s="260">
        <v>41423</v>
      </c>
      <c r="P67" s="260">
        <v>41639</v>
      </c>
      <c r="Q67" s="260">
        <v>41820</v>
      </c>
      <c r="R67" s="258" t="s">
        <v>1232</v>
      </c>
      <c r="S67" s="259">
        <v>654000000</v>
      </c>
      <c r="T67" s="258" t="s">
        <v>1233</v>
      </c>
      <c r="U67" s="261">
        <v>654000000</v>
      </c>
      <c r="V67" s="259"/>
      <c r="W67" s="259">
        <v>97506984</v>
      </c>
      <c r="X67" s="259">
        <v>31392154</v>
      </c>
      <c r="Y67" s="259">
        <v>29248717</v>
      </c>
      <c r="Z67" s="259">
        <v>27601333</v>
      </c>
      <c r="AA67" s="259">
        <v>28526048</v>
      </c>
      <c r="AB67" s="259"/>
      <c r="AC67" s="259"/>
      <c r="AD67" s="259"/>
      <c r="AE67" s="259"/>
      <c r="AF67" s="259"/>
      <c r="AG67" s="259">
        <f t="shared" si="5"/>
        <v>214275236</v>
      </c>
      <c r="AH67" s="258" t="s">
        <v>265</v>
      </c>
      <c r="AI67" s="258" t="s">
        <v>1212</v>
      </c>
      <c r="AJ67" s="258" t="s">
        <v>1234</v>
      </c>
      <c r="AK67" s="258" t="s">
        <v>1221</v>
      </c>
      <c r="AL67" s="258" t="s">
        <v>1235</v>
      </c>
      <c r="AM67" s="258">
        <v>80</v>
      </c>
      <c r="AN67" s="262">
        <f t="shared" si="4"/>
        <v>32.763797553516817</v>
      </c>
    </row>
    <row r="68" spans="1:40" ht="120" x14ac:dyDescent="0.25">
      <c r="A68" s="1054"/>
      <c r="B68" s="1054"/>
      <c r="C68" s="1054"/>
      <c r="D68" s="1054"/>
      <c r="E68" s="1054"/>
      <c r="F68" s="1054"/>
      <c r="G68" s="1057"/>
      <c r="H68" s="1054"/>
      <c r="I68" s="258">
        <v>5</v>
      </c>
      <c r="J68" s="258" t="s">
        <v>1236</v>
      </c>
      <c r="K68" s="258" t="s">
        <v>1237</v>
      </c>
      <c r="L68" s="258" t="s">
        <v>1209</v>
      </c>
      <c r="M68" s="259">
        <v>55500000</v>
      </c>
      <c r="N68" s="258" t="s">
        <v>1238</v>
      </c>
      <c r="O68" s="260">
        <v>41453</v>
      </c>
      <c r="P68" s="260">
        <v>41639</v>
      </c>
      <c r="Q68" s="260">
        <v>41820</v>
      </c>
      <c r="R68" s="258" t="s">
        <v>1239</v>
      </c>
      <c r="S68" s="259">
        <v>55500000</v>
      </c>
      <c r="T68" s="258" t="s">
        <v>1240</v>
      </c>
      <c r="U68" s="261">
        <v>55500000</v>
      </c>
      <c r="V68" s="259"/>
      <c r="W68" s="259">
        <v>11610527</v>
      </c>
      <c r="X68" s="259">
        <v>9625555</v>
      </c>
      <c r="Y68" s="259">
        <v>3431376</v>
      </c>
      <c r="Z68" s="259">
        <v>4327830</v>
      </c>
      <c r="AA68" s="259">
        <v>2890332</v>
      </c>
      <c r="AB68" s="259"/>
      <c r="AC68" s="259"/>
      <c r="AD68" s="259"/>
      <c r="AE68" s="259"/>
      <c r="AF68" s="259"/>
      <c r="AG68" s="259">
        <f t="shared" si="5"/>
        <v>31885620</v>
      </c>
      <c r="AH68" s="258" t="s">
        <v>265</v>
      </c>
      <c r="AI68" s="258" t="s">
        <v>1212</v>
      </c>
      <c r="AJ68" s="258" t="s">
        <v>1241</v>
      </c>
      <c r="AK68" s="258" t="s">
        <v>1221</v>
      </c>
      <c r="AL68" s="258" t="s">
        <v>1242</v>
      </c>
      <c r="AM68" s="258">
        <v>90</v>
      </c>
      <c r="AN68" s="262">
        <f t="shared" si="4"/>
        <v>57.451567567567565</v>
      </c>
    </row>
    <row r="69" spans="1:40" ht="120" x14ac:dyDescent="0.25">
      <c r="A69" s="1054"/>
      <c r="B69" s="1054"/>
      <c r="C69" s="1054"/>
      <c r="D69" s="1054"/>
      <c r="E69" s="1054"/>
      <c r="F69" s="1054"/>
      <c r="G69" s="1057"/>
      <c r="H69" s="1054"/>
      <c r="I69" s="258">
        <v>6</v>
      </c>
      <c r="J69" s="258" t="s">
        <v>1243</v>
      </c>
      <c r="K69" s="258" t="s">
        <v>1244</v>
      </c>
      <c r="L69" s="258" t="s">
        <v>1209</v>
      </c>
      <c r="M69" s="259">
        <v>117000000</v>
      </c>
      <c r="N69" s="258" t="s">
        <v>1245</v>
      </c>
      <c r="O69" s="260">
        <v>41426</v>
      </c>
      <c r="P69" s="260">
        <v>41639</v>
      </c>
      <c r="Q69" s="260">
        <v>41820</v>
      </c>
      <c r="R69" s="258" t="s">
        <v>1246</v>
      </c>
      <c r="S69" s="259">
        <v>117000000</v>
      </c>
      <c r="T69" s="258" t="s">
        <v>1247</v>
      </c>
      <c r="U69" s="261">
        <v>117000000</v>
      </c>
      <c r="V69" s="259"/>
      <c r="W69" s="259">
        <v>17500587</v>
      </c>
      <c r="X69" s="259">
        <v>2884072</v>
      </c>
      <c r="Y69" s="259">
        <v>4168026</v>
      </c>
      <c r="Z69" s="259">
        <v>4173417</v>
      </c>
      <c r="AA69" s="259">
        <v>4067028</v>
      </c>
      <c r="AB69" s="259"/>
      <c r="AC69" s="259"/>
      <c r="AD69" s="259"/>
      <c r="AE69" s="259"/>
      <c r="AF69" s="259"/>
      <c r="AG69" s="259">
        <f t="shared" si="5"/>
        <v>32793130</v>
      </c>
      <c r="AH69" s="258" t="s">
        <v>265</v>
      </c>
      <c r="AI69" s="258" t="s">
        <v>1212</v>
      </c>
      <c r="AJ69" s="258" t="s">
        <v>1248</v>
      </c>
      <c r="AK69" s="258" t="s">
        <v>1221</v>
      </c>
      <c r="AL69" s="258" t="s">
        <v>1222</v>
      </c>
      <c r="AM69" s="258">
        <v>80</v>
      </c>
      <c r="AN69" s="262">
        <f t="shared" si="4"/>
        <v>28.02831623931624</v>
      </c>
    </row>
    <row r="70" spans="1:40" ht="180" x14ac:dyDescent="0.25">
      <c r="A70" s="1054"/>
      <c r="B70" s="1054"/>
      <c r="C70" s="1054"/>
      <c r="D70" s="1054"/>
      <c r="E70" s="1054"/>
      <c r="F70" s="1054"/>
      <c r="G70" s="1057"/>
      <c r="H70" s="1054"/>
      <c r="I70" s="258">
        <v>7</v>
      </c>
      <c r="J70" s="258" t="s">
        <v>1249</v>
      </c>
      <c r="K70" s="258" t="s">
        <v>1250</v>
      </c>
      <c r="L70" s="258" t="s">
        <v>1209</v>
      </c>
      <c r="M70" s="259">
        <v>474000000</v>
      </c>
      <c r="N70" s="258" t="s">
        <v>1251</v>
      </c>
      <c r="O70" s="260">
        <v>41537</v>
      </c>
      <c r="P70" s="260">
        <v>41639</v>
      </c>
      <c r="Q70" s="260">
        <v>41820</v>
      </c>
      <c r="R70" s="258" t="s">
        <v>1252</v>
      </c>
      <c r="S70" s="259">
        <v>474000000</v>
      </c>
      <c r="T70" s="258" t="s">
        <v>1370</v>
      </c>
      <c r="U70" s="261">
        <v>474000000</v>
      </c>
      <c r="V70" s="259"/>
      <c r="W70" s="259">
        <v>59437440</v>
      </c>
      <c r="X70" s="259">
        <v>26872200</v>
      </c>
      <c r="Y70" s="259">
        <v>32008860</v>
      </c>
      <c r="Z70" s="259"/>
      <c r="AA70" s="259"/>
      <c r="AB70" s="259"/>
      <c r="AC70" s="259"/>
      <c r="AD70" s="259"/>
      <c r="AE70" s="259"/>
      <c r="AF70" s="259"/>
      <c r="AG70" s="259">
        <f t="shared" si="5"/>
        <v>118318500</v>
      </c>
      <c r="AH70" s="258" t="s">
        <v>265</v>
      </c>
      <c r="AI70" s="258" t="s">
        <v>1212</v>
      </c>
      <c r="AJ70" s="258" t="s">
        <v>1253</v>
      </c>
      <c r="AK70" s="258" t="s">
        <v>1221</v>
      </c>
      <c r="AL70" s="258" t="s">
        <v>1254</v>
      </c>
      <c r="AM70" s="258">
        <v>80</v>
      </c>
      <c r="AN70" s="262">
        <f t="shared" si="4"/>
        <v>24.961708860759494</v>
      </c>
    </row>
    <row r="71" spans="1:40" ht="120" x14ac:dyDescent="0.25">
      <c r="A71" s="1054"/>
      <c r="B71" s="1054"/>
      <c r="C71" s="1054"/>
      <c r="D71" s="1054"/>
      <c r="E71" s="1054"/>
      <c r="F71" s="1054"/>
      <c r="G71" s="1057"/>
      <c r="H71" s="1054"/>
      <c r="I71" s="258">
        <v>8</v>
      </c>
      <c r="J71" s="258" t="s">
        <v>1255</v>
      </c>
      <c r="K71" s="258" t="s">
        <v>1256</v>
      </c>
      <c r="L71" s="258" t="s">
        <v>1209</v>
      </c>
      <c r="M71" s="259">
        <v>55500000</v>
      </c>
      <c r="N71" s="258" t="s">
        <v>1257</v>
      </c>
      <c r="O71" s="260">
        <v>41518</v>
      </c>
      <c r="P71" s="260">
        <v>41639</v>
      </c>
      <c r="Q71" s="260">
        <v>41820</v>
      </c>
      <c r="R71" s="258" t="s">
        <v>1258</v>
      </c>
      <c r="S71" s="259">
        <v>55500000</v>
      </c>
      <c r="T71" s="258" t="s">
        <v>1259</v>
      </c>
      <c r="U71" s="261">
        <v>55500000</v>
      </c>
      <c r="V71" s="259"/>
      <c r="W71" s="259">
        <v>1368324</v>
      </c>
      <c r="X71" s="259">
        <v>994487</v>
      </c>
      <c r="Y71" s="259">
        <v>2854057</v>
      </c>
      <c r="Z71" s="259">
        <v>1916760</v>
      </c>
      <c r="AA71" s="259"/>
      <c r="AB71" s="259"/>
      <c r="AC71" s="259"/>
      <c r="AD71" s="259"/>
      <c r="AE71" s="259"/>
      <c r="AF71" s="259"/>
      <c r="AG71" s="259">
        <f>SUM(V71:AF71)</f>
        <v>7133628</v>
      </c>
      <c r="AH71" s="258" t="s">
        <v>265</v>
      </c>
      <c r="AI71" s="258" t="s">
        <v>1212</v>
      </c>
      <c r="AJ71" s="258" t="s">
        <v>1260</v>
      </c>
      <c r="AK71" s="258" t="s">
        <v>1221</v>
      </c>
      <c r="AL71" s="258" t="s">
        <v>1254</v>
      </c>
      <c r="AM71" s="258">
        <v>80</v>
      </c>
      <c r="AN71" s="262">
        <f t="shared" si="4"/>
        <v>12.853383783783784</v>
      </c>
    </row>
    <row r="72" spans="1:40" ht="120" x14ac:dyDescent="0.25">
      <c r="A72" s="1054"/>
      <c r="B72" s="1054"/>
      <c r="C72" s="1054"/>
      <c r="D72" s="1054"/>
      <c r="E72" s="1054"/>
      <c r="F72" s="1054"/>
      <c r="G72" s="1057"/>
      <c r="H72" s="1054"/>
      <c r="I72" s="258">
        <v>9</v>
      </c>
      <c r="J72" s="258" t="s">
        <v>1261</v>
      </c>
      <c r="K72" s="258" t="s">
        <v>1262</v>
      </c>
      <c r="L72" s="258" t="s">
        <v>1209</v>
      </c>
      <c r="M72" s="259">
        <v>57000000</v>
      </c>
      <c r="N72" s="258" t="s">
        <v>1263</v>
      </c>
      <c r="O72" s="260">
        <v>41432</v>
      </c>
      <c r="P72" s="260">
        <v>41639</v>
      </c>
      <c r="Q72" s="260">
        <v>41820</v>
      </c>
      <c r="R72" s="258" t="s">
        <v>1264</v>
      </c>
      <c r="S72" s="259">
        <v>57000000</v>
      </c>
      <c r="T72" s="258" t="s">
        <v>1265</v>
      </c>
      <c r="U72" s="261">
        <v>57000000</v>
      </c>
      <c r="V72" s="259"/>
      <c r="W72" s="259">
        <v>10789182</v>
      </c>
      <c r="X72" s="259">
        <v>7670421</v>
      </c>
      <c r="Y72" s="259">
        <v>4849931</v>
      </c>
      <c r="Z72" s="259"/>
      <c r="AA72" s="259"/>
      <c r="AB72" s="259"/>
      <c r="AC72" s="259"/>
      <c r="AD72" s="259"/>
      <c r="AE72" s="259"/>
      <c r="AF72" s="259"/>
      <c r="AG72" s="259">
        <f t="shared" ref="AG72:AG77" si="6">SUM(V72:AF72)</f>
        <v>23309534</v>
      </c>
      <c r="AH72" s="258" t="s">
        <v>265</v>
      </c>
      <c r="AI72" s="258" t="s">
        <v>1212</v>
      </c>
      <c r="AJ72" s="258" t="s">
        <v>1266</v>
      </c>
      <c r="AK72" s="258" t="s">
        <v>1221</v>
      </c>
      <c r="AL72" s="258" t="s">
        <v>1222</v>
      </c>
      <c r="AM72" s="258">
        <v>80</v>
      </c>
      <c r="AN72" s="262">
        <f t="shared" si="4"/>
        <v>40.893919298245613</v>
      </c>
    </row>
    <row r="73" spans="1:40" ht="120" x14ac:dyDescent="0.25">
      <c r="A73" s="1054"/>
      <c r="B73" s="1054"/>
      <c r="C73" s="1054"/>
      <c r="D73" s="1054"/>
      <c r="E73" s="1054"/>
      <c r="F73" s="1054"/>
      <c r="G73" s="1057"/>
      <c r="H73" s="1054"/>
      <c r="I73" s="258">
        <v>10</v>
      </c>
      <c r="J73" s="258" t="s">
        <v>1267</v>
      </c>
      <c r="K73" s="258" t="s">
        <v>1268</v>
      </c>
      <c r="L73" s="258" t="s">
        <v>1209</v>
      </c>
      <c r="M73" s="259">
        <v>187500000</v>
      </c>
      <c r="N73" s="258" t="s">
        <v>1269</v>
      </c>
      <c r="O73" s="260">
        <v>41488</v>
      </c>
      <c r="P73" s="260">
        <v>41639</v>
      </c>
      <c r="Q73" s="260">
        <v>41820</v>
      </c>
      <c r="R73" s="258" t="s">
        <v>1270</v>
      </c>
      <c r="S73" s="259">
        <v>187500000</v>
      </c>
      <c r="T73" s="258" t="s">
        <v>1271</v>
      </c>
      <c r="U73" s="261">
        <v>187500000</v>
      </c>
      <c r="V73" s="259"/>
      <c r="W73" s="259">
        <v>2865308</v>
      </c>
      <c r="X73" s="259">
        <v>6433044</v>
      </c>
      <c r="Y73" s="259">
        <v>4761164</v>
      </c>
      <c r="Z73" s="259">
        <v>3359478</v>
      </c>
      <c r="AA73" s="259">
        <v>1354271</v>
      </c>
      <c r="AB73" s="259"/>
      <c r="AC73" s="259"/>
      <c r="AD73" s="259"/>
      <c r="AE73" s="259"/>
      <c r="AF73" s="259"/>
      <c r="AG73" s="259">
        <f t="shared" si="6"/>
        <v>18773265</v>
      </c>
      <c r="AH73" s="258" t="s">
        <v>265</v>
      </c>
      <c r="AI73" s="258" t="s">
        <v>1212</v>
      </c>
      <c r="AJ73" s="258" t="s">
        <v>1272</v>
      </c>
      <c r="AK73" s="258" t="s">
        <v>1221</v>
      </c>
      <c r="AL73" s="258" t="s">
        <v>1273</v>
      </c>
      <c r="AM73" s="258">
        <v>80</v>
      </c>
      <c r="AN73" s="262">
        <f t="shared" si="4"/>
        <v>10.012408000000001</v>
      </c>
    </row>
    <row r="74" spans="1:40" ht="120" x14ac:dyDescent="0.25">
      <c r="A74" s="1054"/>
      <c r="B74" s="1054"/>
      <c r="C74" s="1054"/>
      <c r="D74" s="1054"/>
      <c r="E74" s="1054"/>
      <c r="F74" s="1054"/>
      <c r="G74" s="1057"/>
      <c r="H74" s="1054"/>
      <c r="I74" s="258">
        <v>11</v>
      </c>
      <c r="J74" s="258" t="s">
        <v>1274</v>
      </c>
      <c r="K74" s="258" t="s">
        <v>1275</v>
      </c>
      <c r="L74" s="258" t="s">
        <v>1209</v>
      </c>
      <c r="M74" s="259">
        <v>189000000</v>
      </c>
      <c r="N74" s="258" t="s">
        <v>1276</v>
      </c>
      <c r="O74" s="260">
        <v>41429</v>
      </c>
      <c r="P74" s="260">
        <v>41639</v>
      </c>
      <c r="Q74" s="260">
        <v>41820</v>
      </c>
      <c r="R74" s="258" t="s">
        <v>1277</v>
      </c>
      <c r="S74" s="259">
        <v>189000000</v>
      </c>
      <c r="T74" s="258" t="s">
        <v>1278</v>
      </c>
      <c r="U74" s="261">
        <v>189000000</v>
      </c>
      <c r="V74" s="259"/>
      <c r="W74" s="259">
        <v>36670755</v>
      </c>
      <c r="X74" s="259">
        <v>10742747</v>
      </c>
      <c r="Y74" s="259">
        <v>10882325</v>
      </c>
      <c r="Z74" s="259">
        <v>7426141</v>
      </c>
      <c r="AA74" s="259">
        <v>7674165</v>
      </c>
      <c r="AB74" s="259"/>
      <c r="AC74" s="259"/>
      <c r="AD74" s="259"/>
      <c r="AE74" s="259"/>
      <c r="AF74" s="259"/>
      <c r="AG74" s="259">
        <f t="shared" si="6"/>
        <v>73396133</v>
      </c>
      <c r="AH74" s="258" t="s">
        <v>265</v>
      </c>
      <c r="AI74" s="258" t="s">
        <v>1212</v>
      </c>
      <c r="AJ74" s="258" t="s">
        <v>1279</v>
      </c>
      <c r="AK74" s="258" t="s">
        <v>1221</v>
      </c>
      <c r="AL74" s="258" t="s">
        <v>1222</v>
      </c>
      <c r="AM74" s="258">
        <v>80</v>
      </c>
      <c r="AN74" s="262">
        <f t="shared" si="4"/>
        <v>38.833932804232802</v>
      </c>
    </row>
    <row r="75" spans="1:40" ht="177.75" customHeight="1" x14ac:dyDescent="0.25">
      <c r="A75" s="1054"/>
      <c r="B75" s="1054"/>
      <c r="C75" s="1054"/>
      <c r="D75" s="1054"/>
      <c r="E75" s="1054"/>
      <c r="F75" s="1054"/>
      <c r="G75" s="1057"/>
      <c r="H75" s="1054"/>
      <c r="I75" s="258">
        <v>12</v>
      </c>
      <c r="J75" s="258" t="s">
        <v>1280</v>
      </c>
      <c r="K75" s="258" t="s">
        <v>1281</v>
      </c>
      <c r="L75" s="258" t="s">
        <v>1209</v>
      </c>
      <c r="M75" s="259">
        <v>34500000</v>
      </c>
      <c r="N75" s="258" t="s">
        <v>1282</v>
      </c>
      <c r="O75" s="260">
        <v>41429</v>
      </c>
      <c r="P75" s="260">
        <v>41639</v>
      </c>
      <c r="Q75" s="260">
        <v>41698</v>
      </c>
      <c r="R75" s="258" t="s">
        <v>1283</v>
      </c>
      <c r="S75" s="259">
        <v>34500000</v>
      </c>
      <c r="T75" s="258" t="s">
        <v>1284</v>
      </c>
      <c r="U75" s="261">
        <v>34500000</v>
      </c>
      <c r="V75" s="259"/>
      <c r="W75" s="259">
        <v>12157844</v>
      </c>
      <c r="X75" s="259">
        <v>3507210</v>
      </c>
      <c r="Y75" s="259">
        <v>3705840</v>
      </c>
      <c r="Z75" s="259"/>
      <c r="AA75" s="259"/>
      <c r="AB75" s="259"/>
      <c r="AC75" s="259"/>
      <c r="AD75" s="259"/>
      <c r="AE75" s="259"/>
      <c r="AF75" s="259"/>
      <c r="AG75" s="259">
        <f t="shared" si="6"/>
        <v>19370894</v>
      </c>
      <c r="AH75" s="258" t="s">
        <v>265</v>
      </c>
      <c r="AI75" s="258" t="s">
        <v>1212</v>
      </c>
      <c r="AJ75" s="258" t="s">
        <v>1285</v>
      </c>
      <c r="AK75" s="258" t="s">
        <v>1221</v>
      </c>
      <c r="AL75" s="258" t="s">
        <v>1286</v>
      </c>
      <c r="AM75" s="258">
        <v>100</v>
      </c>
      <c r="AN75" s="262">
        <f t="shared" si="4"/>
        <v>56.147518840579707</v>
      </c>
    </row>
    <row r="76" spans="1:40" ht="120" x14ac:dyDescent="0.25">
      <c r="A76" s="1054"/>
      <c r="B76" s="1054"/>
      <c r="C76" s="1054"/>
      <c r="D76" s="1054"/>
      <c r="E76" s="1054"/>
      <c r="F76" s="1054"/>
      <c r="G76" s="1057"/>
      <c r="H76" s="1054"/>
      <c r="I76" s="258">
        <v>13</v>
      </c>
      <c r="J76" s="258" t="s">
        <v>1287</v>
      </c>
      <c r="K76" s="258" t="s">
        <v>1288</v>
      </c>
      <c r="L76" s="258" t="s">
        <v>1209</v>
      </c>
      <c r="M76" s="259">
        <v>124500000</v>
      </c>
      <c r="N76" s="258" t="s">
        <v>1289</v>
      </c>
      <c r="O76" s="260">
        <v>41431</v>
      </c>
      <c r="P76" s="260">
        <v>41639</v>
      </c>
      <c r="Q76" s="260">
        <v>41820</v>
      </c>
      <c r="R76" s="258" t="s">
        <v>1290</v>
      </c>
      <c r="S76" s="259">
        <v>124500000</v>
      </c>
      <c r="T76" s="258" t="s">
        <v>1291</v>
      </c>
      <c r="U76" s="261">
        <v>124500000</v>
      </c>
      <c r="V76" s="259"/>
      <c r="W76" s="259">
        <v>30364346</v>
      </c>
      <c r="X76" s="259"/>
      <c r="Y76" s="259"/>
      <c r="Z76" s="259"/>
      <c r="AA76" s="259"/>
      <c r="AB76" s="259"/>
      <c r="AC76" s="259"/>
      <c r="AD76" s="259"/>
      <c r="AE76" s="259"/>
      <c r="AF76" s="259"/>
      <c r="AG76" s="259">
        <f t="shared" si="6"/>
        <v>30364346</v>
      </c>
      <c r="AH76" s="258" t="s">
        <v>265</v>
      </c>
      <c r="AI76" s="258" t="s">
        <v>1212</v>
      </c>
      <c r="AJ76" s="258" t="s">
        <v>1292</v>
      </c>
      <c r="AK76" s="258" t="s">
        <v>1221</v>
      </c>
      <c r="AL76" s="258" t="s">
        <v>1222</v>
      </c>
      <c r="AM76" s="258">
        <v>80</v>
      </c>
      <c r="AN76" s="262">
        <f t="shared" si="4"/>
        <v>24.389032931726909</v>
      </c>
    </row>
    <row r="77" spans="1:40" ht="120" x14ac:dyDescent="0.25">
      <c r="A77" s="1054"/>
      <c r="B77" s="1054"/>
      <c r="C77" s="1054"/>
      <c r="D77" s="1054"/>
      <c r="E77" s="1054"/>
      <c r="F77" s="1054"/>
      <c r="G77" s="1057"/>
      <c r="H77" s="1054"/>
      <c r="I77" s="258">
        <v>14</v>
      </c>
      <c r="J77" s="258" t="s">
        <v>1293</v>
      </c>
      <c r="K77" s="258" t="s">
        <v>1294</v>
      </c>
      <c r="L77" s="258" t="s">
        <v>1209</v>
      </c>
      <c r="M77" s="259">
        <v>138000000</v>
      </c>
      <c r="N77" s="258" t="s">
        <v>1295</v>
      </c>
      <c r="O77" s="260">
        <v>41487</v>
      </c>
      <c r="P77" s="260">
        <v>41639</v>
      </c>
      <c r="Q77" s="260">
        <v>41820</v>
      </c>
      <c r="R77" s="258" t="s">
        <v>1296</v>
      </c>
      <c r="S77" s="259">
        <v>138000000</v>
      </c>
      <c r="T77" s="258" t="s">
        <v>1297</v>
      </c>
      <c r="U77" s="261">
        <v>138000000</v>
      </c>
      <c r="V77" s="259"/>
      <c r="W77" s="259">
        <v>6811275</v>
      </c>
      <c r="X77" s="259">
        <v>7290356</v>
      </c>
      <c r="Y77" s="259"/>
      <c r="Z77" s="259"/>
      <c r="AA77" s="259"/>
      <c r="AB77" s="259"/>
      <c r="AC77" s="259"/>
      <c r="AD77" s="259"/>
      <c r="AE77" s="259"/>
      <c r="AF77" s="259"/>
      <c r="AG77" s="259">
        <f t="shared" si="6"/>
        <v>14101631</v>
      </c>
      <c r="AH77" s="258" t="s">
        <v>265</v>
      </c>
      <c r="AI77" s="258" t="s">
        <v>1212</v>
      </c>
      <c r="AJ77" s="258" t="s">
        <v>1298</v>
      </c>
      <c r="AK77" s="258" t="s">
        <v>1214</v>
      </c>
      <c r="AL77" s="258" t="s">
        <v>1273</v>
      </c>
      <c r="AM77" s="258">
        <v>80</v>
      </c>
      <c r="AN77" s="262">
        <f t="shared" si="4"/>
        <v>10.218573188405797</v>
      </c>
    </row>
    <row r="78" spans="1:40" x14ac:dyDescent="0.25">
      <c r="A78" s="1055"/>
      <c r="B78" s="1055"/>
      <c r="C78" s="1055"/>
      <c r="D78" s="1055"/>
      <c r="E78" s="1055"/>
      <c r="F78" s="1055"/>
      <c r="G78" s="1058"/>
      <c r="H78" s="1055"/>
      <c r="I78" s="258"/>
      <c r="J78" s="258"/>
      <c r="K78" s="258"/>
      <c r="L78" s="258"/>
      <c r="M78" s="259">
        <f>SUM(M64:M77)</f>
        <v>2401500000</v>
      </c>
      <c r="N78" s="258"/>
      <c r="O78" s="260"/>
      <c r="P78" s="260"/>
      <c r="Q78" s="260"/>
      <c r="R78" s="258"/>
      <c r="S78" s="259">
        <f>SUM(S64:S77)</f>
        <v>2401500000</v>
      </c>
      <c r="T78" s="258"/>
      <c r="U78" s="259">
        <f>SUM(U64:U77)</f>
        <v>2401500000</v>
      </c>
      <c r="V78" s="259"/>
      <c r="W78" s="259"/>
      <c r="X78" s="259"/>
      <c r="Y78" s="259"/>
      <c r="Z78" s="259"/>
      <c r="AA78" s="259"/>
      <c r="AB78" s="259"/>
      <c r="AC78" s="259"/>
      <c r="AD78" s="259"/>
      <c r="AE78" s="259"/>
      <c r="AF78" s="259"/>
      <c r="AG78" s="259">
        <f>SUM(AG64:AG77)</f>
        <v>715949508</v>
      </c>
      <c r="AH78" s="258"/>
      <c r="AI78" s="258"/>
      <c r="AJ78" s="258"/>
      <c r="AK78" s="258"/>
      <c r="AL78" s="258"/>
      <c r="AM78" s="258">
        <f>SUM(AM64:AM77)/14</f>
        <v>82.142857142857139</v>
      </c>
      <c r="AN78" s="258">
        <f>SUM(AN64:AN77)/14</f>
        <v>31.515380171533433</v>
      </c>
    </row>
  </sheetData>
  <mergeCells count="77">
    <mergeCell ref="F44:F45"/>
    <mergeCell ref="G44:G45"/>
    <mergeCell ref="H44:H45"/>
    <mergeCell ref="B51:B55"/>
    <mergeCell ref="A51:A55"/>
    <mergeCell ref="E51:E55"/>
    <mergeCell ref="D51:D55"/>
    <mergeCell ref="C51:C55"/>
    <mergeCell ref="G51:G55"/>
    <mergeCell ref="F51:F55"/>
    <mergeCell ref="H51:H55"/>
    <mergeCell ref="F47:F48"/>
    <mergeCell ref="G47:G48"/>
    <mergeCell ref="H47:H48"/>
    <mergeCell ref="A47:A48"/>
    <mergeCell ref="B47:B48"/>
    <mergeCell ref="D18:D28"/>
    <mergeCell ref="C18:C28"/>
    <mergeCell ref="B18:B28"/>
    <mergeCell ref="A18:A28"/>
    <mergeCell ref="H18:H28"/>
    <mergeCell ref="F18:F28"/>
    <mergeCell ref="E18:E28"/>
    <mergeCell ref="G18:G28"/>
    <mergeCell ref="I2:AJ2"/>
    <mergeCell ref="AK2:AN2"/>
    <mergeCell ref="A4:A16"/>
    <mergeCell ref="B4:B16"/>
    <mergeCell ref="C4:C16"/>
    <mergeCell ref="D4:D16"/>
    <mergeCell ref="E4:E16"/>
    <mergeCell ref="F4:F16"/>
    <mergeCell ref="G4:G16"/>
    <mergeCell ref="H4:H16"/>
    <mergeCell ref="A2:A3"/>
    <mergeCell ref="B2:E2"/>
    <mergeCell ref="F2:H2"/>
    <mergeCell ref="C30:C42"/>
    <mergeCell ref="B30:B42"/>
    <mergeCell ref="A30:A42"/>
    <mergeCell ref="H30:H42"/>
    <mergeCell ref="G30:G42"/>
    <mergeCell ref="F30:F42"/>
    <mergeCell ref="E30:E42"/>
    <mergeCell ref="D30:D42"/>
    <mergeCell ref="F57:F58"/>
    <mergeCell ref="G57:G58"/>
    <mergeCell ref="H57:H58"/>
    <mergeCell ref="A60:A62"/>
    <mergeCell ref="B60:B62"/>
    <mergeCell ref="C60:C62"/>
    <mergeCell ref="D60:D62"/>
    <mergeCell ref="E60:E62"/>
    <mergeCell ref="F60:F62"/>
    <mergeCell ref="G60:G62"/>
    <mergeCell ref="H60:H62"/>
    <mergeCell ref="A57:A58"/>
    <mergeCell ref="B57:B58"/>
    <mergeCell ref="C57:C58"/>
    <mergeCell ref="D57:D58"/>
    <mergeCell ref="E57:E58"/>
    <mergeCell ref="F64:F78"/>
    <mergeCell ref="G64:G78"/>
    <mergeCell ref="H64:H78"/>
    <mergeCell ref="A64:A78"/>
    <mergeCell ref="B64:B78"/>
    <mergeCell ref="C64:C78"/>
    <mergeCell ref="D64:D78"/>
    <mergeCell ref="E64:E78"/>
    <mergeCell ref="C47:C48"/>
    <mergeCell ref="D47:D48"/>
    <mergeCell ref="E47:E48"/>
    <mergeCell ref="A44:A45"/>
    <mergeCell ref="B44:B45"/>
    <mergeCell ref="C44:C45"/>
    <mergeCell ref="D44:D45"/>
    <mergeCell ref="E44:E4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N22"/>
  <sheetViews>
    <sheetView topLeftCell="A13" workbookViewId="0">
      <selection activeCell="A4" sqref="A4:AN14"/>
    </sheetView>
  </sheetViews>
  <sheetFormatPr baseColWidth="10" defaultRowHeight="15" x14ac:dyDescent="0.25"/>
  <cols>
    <col min="1" max="1" width="13.5703125" customWidth="1"/>
    <col min="2" max="2" width="14.7109375" customWidth="1"/>
    <col min="3" max="3" width="14.28515625" customWidth="1"/>
    <col min="5" max="5" width="18.42578125" customWidth="1"/>
    <col min="6" max="6" width="47.5703125" customWidth="1"/>
    <col min="7" max="7" width="21.42578125" customWidth="1"/>
    <col min="8" max="8" width="15.5703125" customWidth="1"/>
    <col min="11" max="11" width="20.28515625" customWidth="1"/>
    <col min="12" max="12" width="45.140625" customWidth="1"/>
    <col min="13" max="13" width="19" customWidth="1"/>
    <col min="17" max="17" width="14.140625" customWidth="1"/>
    <col min="19" max="19" width="17.28515625" customWidth="1"/>
    <col min="21" max="21" width="16.140625" bestFit="1" customWidth="1"/>
    <col min="23" max="23" width="17.7109375" bestFit="1" customWidth="1"/>
    <col min="24" max="24" width="14.85546875" customWidth="1"/>
    <col min="25" max="25" width="15.28515625" customWidth="1"/>
    <col min="33" max="33" width="17.140625" customWidth="1"/>
    <col min="34" max="34" width="17" customWidth="1"/>
    <col min="35" max="35" width="18.28515625" customWidth="1"/>
    <col min="36" max="36" width="31.7109375" customWidth="1"/>
    <col min="37" max="37" width="47.85546875" customWidth="1"/>
    <col min="38" max="38" width="33.42578125" customWidth="1"/>
    <col min="40" max="40" width="14.28515625" customWidth="1"/>
  </cols>
  <sheetData>
    <row r="2" spans="1:40" ht="15.75" x14ac:dyDescent="0.25">
      <c r="A2" s="1035" t="s">
        <v>721</v>
      </c>
      <c r="B2" s="1036" t="s">
        <v>79</v>
      </c>
      <c r="C2" s="1036"/>
      <c r="D2" s="1036"/>
      <c r="E2" s="1036"/>
      <c r="F2" s="1036" t="s">
        <v>80</v>
      </c>
      <c r="G2" s="1036"/>
      <c r="H2" s="1036"/>
      <c r="I2" s="1036" t="s">
        <v>81</v>
      </c>
      <c r="J2" s="1036"/>
      <c r="K2" s="1036"/>
      <c r="L2" s="1036"/>
      <c r="M2" s="1036"/>
      <c r="N2" s="1036"/>
      <c r="O2" s="1036"/>
      <c r="P2" s="1036"/>
      <c r="Q2" s="1036"/>
      <c r="R2" s="1036"/>
      <c r="S2" s="1036"/>
      <c r="T2" s="1036"/>
      <c r="U2" s="1036"/>
      <c r="V2" s="1036"/>
      <c r="W2" s="1036"/>
      <c r="X2" s="1036"/>
      <c r="Y2" s="1036"/>
      <c r="Z2" s="1036"/>
      <c r="AA2" s="1036"/>
      <c r="AB2" s="1036"/>
      <c r="AC2" s="1036"/>
      <c r="AD2" s="1036"/>
      <c r="AE2" s="1036"/>
      <c r="AF2" s="1036"/>
      <c r="AG2" s="1036"/>
      <c r="AH2" s="1036"/>
      <c r="AI2" s="1036"/>
      <c r="AJ2" s="1036"/>
      <c r="AK2" s="1036" t="s">
        <v>80</v>
      </c>
      <c r="AL2" s="1036"/>
      <c r="AM2" s="1036"/>
      <c r="AN2" s="1036"/>
    </row>
    <row r="3" spans="1:40" ht="51" x14ac:dyDescent="0.25">
      <c r="A3" s="1035"/>
      <c r="B3" s="267" t="s">
        <v>0</v>
      </c>
      <c r="C3" s="267" t="s">
        <v>6</v>
      </c>
      <c r="D3" s="267" t="s">
        <v>1</v>
      </c>
      <c r="E3" s="267" t="s">
        <v>2</v>
      </c>
      <c r="F3" s="267" t="s">
        <v>3</v>
      </c>
      <c r="G3" s="290" t="s">
        <v>4</v>
      </c>
      <c r="H3" s="267" t="s">
        <v>5</v>
      </c>
      <c r="I3" s="289" t="s">
        <v>721</v>
      </c>
      <c r="J3" s="267" t="s">
        <v>7</v>
      </c>
      <c r="K3" s="267" t="s">
        <v>8</v>
      </c>
      <c r="L3" s="267" t="s">
        <v>9</v>
      </c>
      <c r="M3" s="268" t="s">
        <v>11</v>
      </c>
      <c r="N3" s="267" t="s">
        <v>10</v>
      </c>
      <c r="O3" s="267" t="s">
        <v>12</v>
      </c>
      <c r="P3" s="267" t="s">
        <v>13</v>
      </c>
      <c r="Q3" s="267" t="s">
        <v>14</v>
      </c>
      <c r="R3" s="267" t="s">
        <v>15</v>
      </c>
      <c r="S3" s="268" t="s">
        <v>28</v>
      </c>
      <c r="T3" s="267" t="s">
        <v>16</v>
      </c>
      <c r="U3" s="269" t="s">
        <v>133</v>
      </c>
      <c r="V3" s="268" t="s">
        <v>263</v>
      </c>
      <c r="W3" s="268" t="s">
        <v>17</v>
      </c>
      <c r="X3" s="268" t="s">
        <v>18</v>
      </c>
      <c r="Y3" s="268" t="s">
        <v>280</v>
      </c>
      <c r="Z3" s="268" t="s">
        <v>281</v>
      </c>
      <c r="AA3" s="268" t="s">
        <v>282</v>
      </c>
      <c r="AB3" s="268" t="s">
        <v>283</v>
      </c>
      <c r="AC3" s="268" t="s">
        <v>284</v>
      </c>
      <c r="AD3" s="268" t="s">
        <v>285</v>
      </c>
      <c r="AE3" s="268" t="s">
        <v>286</v>
      </c>
      <c r="AF3" s="268" t="s">
        <v>287</v>
      </c>
      <c r="AG3" s="268" t="s">
        <v>19</v>
      </c>
      <c r="AH3" s="267" t="s">
        <v>20</v>
      </c>
      <c r="AI3" s="267" t="s">
        <v>21</v>
      </c>
      <c r="AJ3" s="267" t="s">
        <v>22</v>
      </c>
      <c r="AK3" s="267" t="s">
        <v>23</v>
      </c>
      <c r="AL3" s="267" t="s">
        <v>24</v>
      </c>
      <c r="AM3" s="270" t="s">
        <v>33</v>
      </c>
      <c r="AN3" s="270" t="s">
        <v>32</v>
      </c>
    </row>
    <row r="4" spans="1:40" ht="90" x14ac:dyDescent="0.25">
      <c r="A4" s="240">
        <v>1</v>
      </c>
      <c r="B4" s="240" t="s">
        <v>844</v>
      </c>
      <c r="C4" s="240" t="s">
        <v>1375</v>
      </c>
      <c r="D4" s="240">
        <v>2013</v>
      </c>
      <c r="E4" s="240" t="s">
        <v>1376</v>
      </c>
      <c r="F4" s="240" t="s">
        <v>1667</v>
      </c>
      <c r="G4" s="352">
        <v>167379000</v>
      </c>
      <c r="H4" s="240" t="s">
        <v>1377</v>
      </c>
      <c r="I4" s="240">
        <v>1</v>
      </c>
      <c r="J4" s="240" t="s">
        <v>1378</v>
      </c>
      <c r="K4" s="240" t="s">
        <v>1379</v>
      </c>
      <c r="L4" s="240" t="s">
        <v>1380</v>
      </c>
      <c r="M4" s="352">
        <v>15908721</v>
      </c>
      <c r="N4" s="240" t="s">
        <v>1031</v>
      </c>
      <c r="O4" s="195">
        <v>41508</v>
      </c>
      <c r="P4" s="195">
        <v>41538</v>
      </c>
      <c r="Q4" s="195">
        <v>41538</v>
      </c>
      <c r="R4" s="240" t="s">
        <v>1381</v>
      </c>
      <c r="S4" s="352">
        <v>20000000</v>
      </c>
      <c r="T4" s="240" t="s">
        <v>1382</v>
      </c>
      <c r="U4" s="352">
        <v>15908721</v>
      </c>
      <c r="V4" s="352"/>
      <c r="W4" s="352">
        <v>15908721</v>
      </c>
      <c r="X4" s="352"/>
      <c r="Y4" s="352"/>
      <c r="Z4" s="352"/>
      <c r="AA4" s="352"/>
      <c r="AB4" s="352"/>
      <c r="AC4" s="352"/>
      <c r="AD4" s="352"/>
      <c r="AE4" s="352"/>
      <c r="AF4" s="352"/>
      <c r="AG4" s="352">
        <f>SUM(V4:AF4)</f>
        <v>15908721</v>
      </c>
      <c r="AH4" s="240" t="s">
        <v>237</v>
      </c>
      <c r="AI4" s="240" t="s">
        <v>1383</v>
      </c>
      <c r="AJ4" s="240" t="s">
        <v>1384</v>
      </c>
      <c r="AK4" s="240" t="s">
        <v>1385</v>
      </c>
      <c r="AL4" s="240" t="s">
        <v>1385</v>
      </c>
      <c r="AM4" s="240">
        <v>100</v>
      </c>
      <c r="AN4" s="353">
        <f t="shared" ref="AN4:AN10" si="0">(AG4*100)/U4</f>
        <v>100</v>
      </c>
    </row>
    <row r="5" spans="1:40" ht="90" x14ac:dyDescent="0.25">
      <c r="A5" s="338">
        <v>2</v>
      </c>
      <c r="B5" s="338" t="s">
        <v>844</v>
      </c>
      <c r="C5" s="338" t="s">
        <v>1386</v>
      </c>
      <c r="D5" s="338">
        <v>2013</v>
      </c>
      <c r="E5" s="338" t="s">
        <v>1387</v>
      </c>
      <c r="F5" s="338" t="s">
        <v>1668</v>
      </c>
      <c r="G5" s="339">
        <v>74007000</v>
      </c>
      <c r="H5" s="338" t="s">
        <v>1388</v>
      </c>
      <c r="I5" s="338">
        <v>1</v>
      </c>
      <c r="J5" s="338" t="s">
        <v>1389</v>
      </c>
      <c r="K5" s="338" t="s">
        <v>1390</v>
      </c>
      <c r="L5" s="338" t="s">
        <v>1391</v>
      </c>
      <c r="M5" s="339">
        <v>32823000</v>
      </c>
      <c r="N5" s="338" t="s">
        <v>1392</v>
      </c>
      <c r="O5" s="25">
        <v>41554</v>
      </c>
      <c r="P5" s="25">
        <v>41558</v>
      </c>
      <c r="Q5" s="25">
        <v>41558</v>
      </c>
      <c r="R5" s="338" t="s">
        <v>1393</v>
      </c>
      <c r="S5" s="339">
        <v>32823500</v>
      </c>
      <c r="T5" s="338" t="s">
        <v>1394</v>
      </c>
      <c r="U5" s="339">
        <v>29268000</v>
      </c>
      <c r="V5" s="339"/>
      <c r="W5" s="339">
        <v>29268600</v>
      </c>
      <c r="X5" s="339"/>
      <c r="Y5" s="339"/>
      <c r="Z5" s="339"/>
      <c r="AA5" s="339"/>
      <c r="AB5" s="339"/>
      <c r="AC5" s="339"/>
      <c r="AD5" s="339"/>
      <c r="AE5" s="339"/>
      <c r="AF5" s="339"/>
      <c r="AG5" s="339">
        <f t="shared" ref="AG5:AG21" si="1">SUM(V5:AF5)</f>
        <v>29268600</v>
      </c>
      <c r="AH5" s="338" t="s">
        <v>237</v>
      </c>
      <c r="AI5" s="338" t="s">
        <v>1395</v>
      </c>
      <c r="AJ5" s="338" t="s">
        <v>1384</v>
      </c>
      <c r="AK5" s="338" t="s">
        <v>1396</v>
      </c>
      <c r="AL5" s="338" t="s">
        <v>1396</v>
      </c>
      <c r="AM5" s="338">
        <v>100</v>
      </c>
      <c r="AN5" s="354">
        <f t="shared" si="0"/>
        <v>100.00205002050021</v>
      </c>
    </row>
    <row r="6" spans="1:40" ht="120" x14ac:dyDescent="0.25">
      <c r="A6" s="183">
        <v>3</v>
      </c>
      <c r="B6" s="183" t="s">
        <v>844</v>
      </c>
      <c r="C6" s="183" t="s">
        <v>396</v>
      </c>
      <c r="D6" s="183">
        <v>2013</v>
      </c>
      <c r="E6" s="183" t="s">
        <v>397</v>
      </c>
      <c r="F6" s="183" t="s">
        <v>1669</v>
      </c>
      <c r="G6" s="355">
        <v>845116000</v>
      </c>
      <c r="H6" s="183" t="s">
        <v>1398</v>
      </c>
      <c r="I6" s="183">
        <v>1</v>
      </c>
      <c r="J6" s="183" t="s">
        <v>1397</v>
      </c>
      <c r="K6" s="183" t="s">
        <v>1399</v>
      </c>
      <c r="L6" s="183" t="s">
        <v>1400</v>
      </c>
      <c r="M6" s="355">
        <v>845116000</v>
      </c>
      <c r="N6" s="183" t="s">
        <v>1100</v>
      </c>
      <c r="O6" s="356">
        <v>41607</v>
      </c>
      <c r="P6" s="356">
        <v>41819</v>
      </c>
      <c r="Q6" s="183"/>
      <c r="R6" s="183" t="s">
        <v>1406</v>
      </c>
      <c r="S6" s="355">
        <f>126767400+718348600+416207178</f>
        <v>1261323178</v>
      </c>
      <c r="T6" s="183" t="s">
        <v>1401</v>
      </c>
      <c r="U6" s="355">
        <f>718348600+124862153</f>
        <v>843210753</v>
      </c>
      <c r="V6" s="355"/>
      <c r="W6" s="355">
        <v>124862153</v>
      </c>
      <c r="X6" s="355"/>
      <c r="Y6" s="355"/>
      <c r="Z6" s="355"/>
      <c r="AA6" s="355"/>
      <c r="AB6" s="355"/>
      <c r="AC6" s="355"/>
      <c r="AD6" s="355"/>
      <c r="AE6" s="355"/>
      <c r="AF6" s="355"/>
      <c r="AG6" s="355">
        <f t="shared" si="1"/>
        <v>124862153</v>
      </c>
      <c r="AH6" s="183" t="s">
        <v>1299</v>
      </c>
      <c r="AI6" s="183" t="s">
        <v>1402</v>
      </c>
      <c r="AJ6" s="183" t="s">
        <v>1403</v>
      </c>
      <c r="AK6" s="183" t="s">
        <v>1404</v>
      </c>
      <c r="AL6" s="183" t="s">
        <v>1405</v>
      </c>
      <c r="AM6" s="183">
        <v>50</v>
      </c>
      <c r="AN6" s="357">
        <f t="shared" si="0"/>
        <v>14.807941259733912</v>
      </c>
    </row>
    <row r="7" spans="1:40" ht="90" x14ac:dyDescent="0.25">
      <c r="A7" s="340">
        <v>4</v>
      </c>
      <c r="B7" s="340" t="s">
        <v>844</v>
      </c>
      <c r="C7" s="340" t="s">
        <v>1375</v>
      </c>
      <c r="D7" s="340">
        <v>2013</v>
      </c>
      <c r="E7" s="340" t="s">
        <v>1376</v>
      </c>
      <c r="F7" s="340" t="s">
        <v>1602</v>
      </c>
      <c r="G7" s="358">
        <v>141316000</v>
      </c>
      <c r="H7" s="340" t="s">
        <v>1603</v>
      </c>
      <c r="I7" s="340">
        <v>1</v>
      </c>
      <c r="J7" s="340" t="s">
        <v>1604</v>
      </c>
      <c r="K7" s="340" t="s">
        <v>1605</v>
      </c>
      <c r="L7" s="340" t="s">
        <v>1606</v>
      </c>
      <c r="M7" s="204">
        <v>45000000</v>
      </c>
      <c r="N7" s="340" t="s">
        <v>342</v>
      </c>
      <c r="O7" s="203">
        <v>41444</v>
      </c>
      <c r="P7" s="203">
        <v>41443</v>
      </c>
      <c r="Q7" s="203">
        <v>41443</v>
      </c>
      <c r="R7" s="340" t="s">
        <v>1607</v>
      </c>
      <c r="S7" s="204">
        <v>45000000</v>
      </c>
      <c r="T7" s="340" t="s">
        <v>1608</v>
      </c>
      <c r="U7" s="204">
        <v>45000000</v>
      </c>
      <c r="V7" s="340"/>
      <c r="W7" s="204">
        <v>24072760</v>
      </c>
      <c r="X7" s="340"/>
      <c r="Y7" s="340"/>
      <c r="Z7" s="340"/>
      <c r="AA7" s="340"/>
      <c r="AB7" s="340"/>
      <c r="AC7" s="340"/>
      <c r="AD7" s="340"/>
      <c r="AE7" s="340"/>
      <c r="AF7" s="340"/>
      <c r="AG7" s="358">
        <f t="shared" si="1"/>
        <v>24072760</v>
      </c>
      <c r="AH7" s="340" t="s">
        <v>237</v>
      </c>
      <c r="AI7" s="340" t="s">
        <v>1609</v>
      </c>
      <c r="AJ7" s="340" t="s">
        <v>1610</v>
      </c>
      <c r="AK7" s="340" t="s">
        <v>1611</v>
      </c>
      <c r="AL7" s="340" t="s">
        <v>1612</v>
      </c>
      <c r="AM7" s="340">
        <v>100</v>
      </c>
      <c r="AN7" s="359">
        <f t="shared" si="0"/>
        <v>53.495022222222225</v>
      </c>
    </row>
    <row r="8" spans="1:40" ht="161.25" customHeight="1" x14ac:dyDescent="0.25">
      <c r="A8" s="362">
        <v>5</v>
      </c>
      <c r="B8" s="362" t="s">
        <v>844</v>
      </c>
      <c r="C8" s="363" t="s">
        <v>391</v>
      </c>
      <c r="D8" s="362">
        <v>2013</v>
      </c>
      <c r="E8" s="362" t="s">
        <v>1613</v>
      </c>
      <c r="F8" s="362" t="s">
        <v>1614</v>
      </c>
      <c r="G8" s="364">
        <v>86800000</v>
      </c>
      <c r="H8" s="362" t="s">
        <v>1615</v>
      </c>
      <c r="I8" s="362">
        <v>1</v>
      </c>
      <c r="J8" s="365" t="s">
        <v>1616</v>
      </c>
      <c r="K8" s="362" t="s">
        <v>1617</v>
      </c>
      <c r="L8" s="362" t="s">
        <v>1618</v>
      </c>
      <c r="M8" s="366">
        <v>86800000</v>
      </c>
      <c r="N8" s="362" t="s">
        <v>1619</v>
      </c>
      <c r="O8" s="367">
        <v>41586</v>
      </c>
      <c r="P8" s="367">
        <v>41639</v>
      </c>
      <c r="Q8" s="367">
        <v>41639</v>
      </c>
      <c r="R8" s="362" t="s">
        <v>1620</v>
      </c>
      <c r="S8" s="366">
        <v>86800000</v>
      </c>
      <c r="T8" s="362" t="s">
        <v>1621</v>
      </c>
      <c r="U8" s="364">
        <v>86800000</v>
      </c>
      <c r="V8" s="366"/>
      <c r="W8" s="366">
        <v>86800000</v>
      </c>
      <c r="X8" s="366"/>
      <c r="Y8" s="366"/>
      <c r="Z8" s="366"/>
      <c r="AA8" s="366"/>
      <c r="AB8" s="366"/>
      <c r="AC8" s="366"/>
      <c r="AD8" s="366"/>
      <c r="AE8" s="366"/>
      <c r="AF8" s="366"/>
      <c r="AG8" s="368">
        <f t="shared" si="1"/>
        <v>86800000</v>
      </c>
      <c r="AH8" s="365" t="s">
        <v>1622</v>
      </c>
      <c r="AI8" s="362" t="s">
        <v>1623</v>
      </c>
      <c r="AJ8" s="362" t="s">
        <v>1624</v>
      </c>
      <c r="AK8" s="362" t="s">
        <v>1625</v>
      </c>
      <c r="AL8" s="362" t="s">
        <v>1626</v>
      </c>
      <c r="AM8" s="362">
        <v>100</v>
      </c>
      <c r="AN8" s="369">
        <f t="shared" si="0"/>
        <v>100</v>
      </c>
    </row>
    <row r="9" spans="1:40" ht="91.5" customHeight="1" x14ac:dyDescent="0.25">
      <c r="A9" s="105">
        <v>6</v>
      </c>
      <c r="B9" s="105" t="s">
        <v>844</v>
      </c>
      <c r="C9" s="370" t="s">
        <v>391</v>
      </c>
      <c r="D9" s="105">
        <v>2013</v>
      </c>
      <c r="E9" s="105" t="s">
        <v>1824</v>
      </c>
      <c r="F9" s="105" t="s">
        <v>1627</v>
      </c>
      <c r="G9" s="371">
        <v>18000000</v>
      </c>
      <c r="H9" s="105" t="s">
        <v>1628</v>
      </c>
      <c r="I9" s="105">
        <v>1</v>
      </c>
      <c r="J9" s="372" t="s">
        <v>1629</v>
      </c>
      <c r="K9" s="105" t="s">
        <v>1630</v>
      </c>
      <c r="L9" s="105" t="s">
        <v>1631</v>
      </c>
      <c r="M9" s="373">
        <v>18000000</v>
      </c>
      <c r="N9" s="298" t="s">
        <v>1632</v>
      </c>
      <c r="O9" s="300">
        <v>41359</v>
      </c>
      <c r="P9" s="300">
        <v>41367</v>
      </c>
      <c r="Q9" s="300">
        <v>41367</v>
      </c>
      <c r="R9" s="105" t="s">
        <v>1633</v>
      </c>
      <c r="S9" s="373">
        <v>18000000</v>
      </c>
      <c r="T9" s="105" t="s">
        <v>1634</v>
      </c>
      <c r="U9" s="371">
        <v>18000000</v>
      </c>
      <c r="V9" s="373"/>
      <c r="W9" s="373">
        <v>6052751</v>
      </c>
      <c r="X9" s="373">
        <v>5200000</v>
      </c>
      <c r="Y9" s="373">
        <v>4000000</v>
      </c>
      <c r="Z9" s="373"/>
      <c r="AA9" s="373"/>
      <c r="AB9" s="373"/>
      <c r="AC9" s="373"/>
      <c r="AD9" s="373"/>
      <c r="AE9" s="373"/>
      <c r="AF9" s="373"/>
      <c r="AG9" s="374">
        <f t="shared" ref="AG9:AG14" si="2">SUM(V9:AF9)</f>
        <v>15252751</v>
      </c>
      <c r="AH9" s="105" t="s">
        <v>1635</v>
      </c>
      <c r="AI9" s="105" t="s">
        <v>1636</v>
      </c>
      <c r="AJ9" s="105" t="s">
        <v>1637</v>
      </c>
      <c r="AK9" s="105" t="s">
        <v>1638</v>
      </c>
      <c r="AL9" s="105" t="s">
        <v>1639</v>
      </c>
      <c r="AM9" s="298">
        <v>100</v>
      </c>
      <c r="AN9" s="375">
        <f t="shared" si="0"/>
        <v>84.737505555555558</v>
      </c>
    </row>
    <row r="10" spans="1:40" ht="105" x14ac:dyDescent="0.25">
      <c r="A10" s="342">
        <v>7</v>
      </c>
      <c r="B10" s="342" t="s">
        <v>844</v>
      </c>
      <c r="C10" s="361" t="s">
        <v>1640</v>
      </c>
      <c r="D10" s="342">
        <v>2013</v>
      </c>
      <c r="E10" s="342" t="s">
        <v>1641</v>
      </c>
      <c r="F10" s="342" t="s">
        <v>1642</v>
      </c>
      <c r="G10" s="360">
        <v>2226660345</v>
      </c>
      <c r="H10" s="342" t="s">
        <v>1864</v>
      </c>
      <c r="I10" s="342">
        <v>1</v>
      </c>
      <c r="J10" s="361" t="s">
        <v>1643</v>
      </c>
      <c r="K10" s="342" t="s">
        <v>1605</v>
      </c>
      <c r="L10" s="342" t="s">
        <v>1644</v>
      </c>
      <c r="M10" s="43">
        <v>411684000</v>
      </c>
      <c r="N10" s="341" t="s">
        <v>1645</v>
      </c>
      <c r="O10" s="33"/>
      <c r="P10" s="33"/>
      <c r="Q10" s="33"/>
      <c r="R10" s="342" t="s">
        <v>1646</v>
      </c>
      <c r="S10" s="43">
        <v>99372000</v>
      </c>
      <c r="T10" s="342" t="s">
        <v>1647</v>
      </c>
      <c r="U10" s="360">
        <v>99372000</v>
      </c>
      <c r="V10" s="43"/>
      <c r="W10" s="43"/>
      <c r="X10" s="43"/>
      <c r="Y10" s="43"/>
      <c r="Z10" s="43"/>
      <c r="AA10" s="43"/>
      <c r="AB10" s="43"/>
      <c r="AC10" s="43"/>
      <c r="AD10" s="43"/>
      <c r="AE10" s="43"/>
      <c r="AF10" s="43"/>
      <c r="AG10" s="34">
        <f t="shared" si="2"/>
        <v>0</v>
      </c>
      <c r="AH10" s="342"/>
      <c r="AI10" s="342" t="s">
        <v>1648</v>
      </c>
      <c r="AJ10" s="342" t="s">
        <v>1649</v>
      </c>
      <c r="AK10" s="342" t="s">
        <v>1650</v>
      </c>
      <c r="AL10" s="483"/>
      <c r="AM10" s="341">
        <v>0</v>
      </c>
      <c r="AN10" s="30">
        <f t="shared" si="0"/>
        <v>0</v>
      </c>
    </row>
    <row r="11" spans="1:40" ht="45" x14ac:dyDescent="0.25">
      <c r="A11" s="377">
        <v>8</v>
      </c>
      <c r="B11" s="377" t="s">
        <v>844</v>
      </c>
      <c r="C11" s="377" t="s">
        <v>1375</v>
      </c>
      <c r="D11" s="378">
        <v>2013</v>
      </c>
      <c r="E11" s="377" t="s">
        <v>1376</v>
      </c>
      <c r="F11" s="377" t="s">
        <v>1651</v>
      </c>
      <c r="G11" s="379">
        <v>126102000</v>
      </c>
      <c r="H11" s="377" t="s">
        <v>1652</v>
      </c>
      <c r="I11" s="378"/>
      <c r="J11" s="378"/>
      <c r="K11" s="378"/>
      <c r="L11" s="378"/>
      <c r="M11" s="378"/>
      <c r="N11" s="378"/>
      <c r="O11" s="378"/>
      <c r="P11" s="378"/>
      <c r="Q11" s="378"/>
      <c r="R11" s="378"/>
      <c r="S11" s="378"/>
      <c r="T11" s="378"/>
      <c r="U11" s="378"/>
      <c r="V11" s="378"/>
      <c r="W11" s="378"/>
      <c r="X11" s="378"/>
      <c r="Y11" s="378"/>
      <c r="Z11" s="378"/>
      <c r="AA11" s="378"/>
      <c r="AB11" s="378"/>
      <c r="AC11" s="378"/>
      <c r="AD11" s="378"/>
      <c r="AE11" s="378"/>
      <c r="AF11" s="378"/>
      <c r="AG11" s="380">
        <f t="shared" si="2"/>
        <v>0</v>
      </c>
      <c r="AH11" s="378"/>
      <c r="AI11" s="378"/>
      <c r="AJ11" s="377" t="s">
        <v>1653</v>
      </c>
      <c r="AK11" s="377" t="s">
        <v>1654</v>
      </c>
      <c r="AL11" s="377"/>
      <c r="AM11" s="378">
        <v>0</v>
      </c>
      <c r="AN11" s="381">
        <v>0</v>
      </c>
    </row>
    <row r="12" spans="1:40" ht="105" x14ac:dyDescent="0.25">
      <c r="A12" s="240">
        <v>9</v>
      </c>
      <c r="B12" s="240" t="s">
        <v>844</v>
      </c>
      <c r="C12" s="240" t="s">
        <v>1826</v>
      </c>
      <c r="D12" s="240">
        <v>2013</v>
      </c>
      <c r="E12" s="240" t="s">
        <v>1825</v>
      </c>
      <c r="F12" s="240" t="s">
        <v>1655</v>
      </c>
      <c r="G12" s="196">
        <v>16845000</v>
      </c>
      <c r="H12" s="240" t="s">
        <v>1656</v>
      </c>
      <c r="I12" s="240"/>
      <c r="J12" s="240"/>
      <c r="K12" s="240"/>
      <c r="L12" s="240"/>
      <c r="M12" s="240"/>
      <c r="N12" s="240"/>
      <c r="O12" s="240"/>
      <c r="P12" s="240"/>
      <c r="Q12" s="240"/>
      <c r="R12" s="240"/>
      <c r="S12" s="240"/>
      <c r="T12" s="240"/>
      <c r="U12" s="240"/>
      <c r="V12" s="240"/>
      <c r="W12" s="240"/>
      <c r="X12" s="240"/>
      <c r="Y12" s="240"/>
      <c r="Z12" s="240"/>
      <c r="AA12" s="240"/>
      <c r="AB12" s="240"/>
      <c r="AC12" s="240"/>
      <c r="AD12" s="240"/>
      <c r="AE12" s="240"/>
      <c r="AF12" s="240"/>
      <c r="AG12" s="352">
        <f t="shared" si="2"/>
        <v>0</v>
      </c>
      <c r="AH12" s="240"/>
      <c r="AI12" s="240"/>
      <c r="AJ12" s="240" t="s">
        <v>1653</v>
      </c>
      <c r="AK12" s="240" t="s">
        <v>1714</v>
      </c>
      <c r="AL12" s="240"/>
      <c r="AM12" s="240">
        <v>0</v>
      </c>
      <c r="AN12" s="353">
        <v>0</v>
      </c>
    </row>
    <row r="13" spans="1:40" ht="45" x14ac:dyDescent="0.25">
      <c r="A13" s="249">
        <v>10</v>
      </c>
      <c r="B13" s="249" t="s">
        <v>844</v>
      </c>
      <c r="C13" s="249"/>
      <c r="D13" s="249">
        <v>2013</v>
      </c>
      <c r="E13" s="249"/>
      <c r="F13" s="249" t="s">
        <v>1657</v>
      </c>
      <c r="G13" s="252">
        <v>288087000</v>
      </c>
      <c r="H13" s="249" t="s">
        <v>1658</v>
      </c>
      <c r="I13" s="249"/>
      <c r="J13" s="249"/>
      <c r="K13" s="249"/>
      <c r="L13" s="249"/>
      <c r="M13" s="249"/>
      <c r="N13" s="249"/>
      <c r="O13" s="249"/>
      <c r="P13" s="249"/>
      <c r="Q13" s="249"/>
      <c r="R13" s="249"/>
      <c r="S13" s="249"/>
      <c r="T13" s="249"/>
      <c r="U13" s="249"/>
      <c r="V13" s="249"/>
      <c r="W13" s="249"/>
      <c r="X13" s="249" t="s">
        <v>776</v>
      </c>
      <c r="Y13" s="249"/>
      <c r="Z13" s="249"/>
      <c r="AA13" s="249"/>
      <c r="AB13" s="249"/>
      <c r="AC13" s="249"/>
      <c r="AD13" s="249"/>
      <c r="AE13" s="249"/>
      <c r="AF13" s="249"/>
      <c r="AG13" s="382">
        <f t="shared" si="2"/>
        <v>0</v>
      </c>
      <c r="AH13" s="249"/>
      <c r="AI13" s="249"/>
      <c r="AJ13" s="249" t="s">
        <v>1659</v>
      </c>
      <c r="AK13" s="249" t="s">
        <v>1657</v>
      </c>
      <c r="AL13" s="249"/>
      <c r="AM13" s="249">
        <v>0</v>
      </c>
      <c r="AN13" s="383">
        <v>0</v>
      </c>
    </row>
    <row r="14" spans="1:40" ht="92.25" customHeight="1" x14ac:dyDescent="0.25">
      <c r="A14" s="338">
        <v>11</v>
      </c>
      <c r="B14" s="16" t="s">
        <v>844</v>
      </c>
      <c r="C14" s="16"/>
      <c r="D14" s="16">
        <v>2013</v>
      </c>
      <c r="E14" s="16"/>
      <c r="F14" s="338" t="s">
        <v>1660</v>
      </c>
      <c r="G14" s="376">
        <v>801656000</v>
      </c>
      <c r="H14" s="338" t="s">
        <v>1661</v>
      </c>
      <c r="I14" s="16">
        <v>1</v>
      </c>
      <c r="J14" s="338" t="s">
        <v>1662</v>
      </c>
      <c r="K14" s="338" t="s">
        <v>1663</v>
      </c>
      <c r="L14" s="338" t="s">
        <v>1660</v>
      </c>
      <c r="M14" s="384">
        <v>1080628120</v>
      </c>
      <c r="N14" s="16" t="s">
        <v>350</v>
      </c>
      <c r="O14" s="16"/>
      <c r="P14" s="17"/>
      <c r="Q14" s="17"/>
      <c r="R14" s="338" t="s">
        <v>1664</v>
      </c>
      <c r="S14" s="384">
        <v>1081144004</v>
      </c>
      <c r="T14" s="16" t="s">
        <v>1670</v>
      </c>
      <c r="U14" s="385"/>
      <c r="V14" s="376"/>
      <c r="W14" s="376"/>
      <c r="X14" s="376"/>
      <c r="Y14" s="376"/>
      <c r="Z14" s="376"/>
      <c r="AA14" s="376"/>
      <c r="AB14" s="376"/>
      <c r="AC14" s="376"/>
      <c r="AD14" s="376"/>
      <c r="AE14" s="376"/>
      <c r="AF14" s="376"/>
      <c r="AG14" s="339">
        <f t="shared" si="2"/>
        <v>0</v>
      </c>
      <c r="AH14" s="16"/>
      <c r="AI14" s="338" t="s">
        <v>1665</v>
      </c>
      <c r="AJ14" s="338" t="s">
        <v>1666</v>
      </c>
      <c r="AK14" s="482" t="s">
        <v>1715</v>
      </c>
      <c r="AL14" s="16"/>
      <c r="AM14" s="16">
        <v>0</v>
      </c>
      <c r="AN14" s="354">
        <v>0</v>
      </c>
    </row>
    <row r="15" spans="1:40" x14ac:dyDescent="0.25">
      <c r="G15" s="287"/>
      <c r="M15" s="287"/>
      <c r="U15" s="287"/>
      <c r="V15" s="287"/>
      <c r="W15" s="287"/>
      <c r="X15" s="287"/>
      <c r="Y15" s="287"/>
      <c r="Z15" s="287"/>
      <c r="AA15" s="287"/>
      <c r="AB15" s="287"/>
      <c r="AC15" s="287"/>
      <c r="AD15" s="287"/>
      <c r="AE15" s="287"/>
      <c r="AF15" s="287"/>
      <c r="AG15" s="128">
        <f t="shared" si="1"/>
        <v>0</v>
      </c>
    </row>
    <row r="16" spans="1:40" x14ac:dyDescent="0.25">
      <c r="G16" s="287"/>
      <c r="M16" s="287"/>
      <c r="U16" s="287"/>
      <c r="V16" s="287"/>
      <c r="W16" s="287"/>
      <c r="X16" s="287"/>
      <c r="Y16" s="287"/>
      <c r="Z16" s="287"/>
      <c r="AA16" s="287"/>
      <c r="AB16" s="287"/>
      <c r="AC16" s="287"/>
      <c r="AD16" s="287"/>
      <c r="AE16" s="287"/>
      <c r="AF16" s="287"/>
      <c r="AG16" s="128">
        <f t="shared" si="1"/>
        <v>0</v>
      </c>
    </row>
    <row r="17" spans="7:33" x14ac:dyDescent="0.25">
      <c r="G17" s="287"/>
      <c r="M17" s="287"/>
      <c r="U17" s="287"/>
      <c r="V17" s="287"/>
      <c r="W17" s="287"/>
      <c r="X17" s="287"/>
      <c r="Y17" s="287"/>
      <c r="Z17" s="287"/>
      <c r="AA17" s="287"/>
      <c r="AB17" s="287"/>
      <c r="AC17" s="287"/>
      <c r="AD17" s="287"/>
      <c r="AE17" s="287"/>
      <c r="AF17" s="287"/>
      <c r="AG17" s="128">
        <f t="shared" si="1"/>
        <v>0</v>
      </c>
    </row>
    <row r="18" spans="7:33" x14ac:dyDescent="0.25">
      <c r="M18" s="287"/>
      <c r="U18" s="287"/>
      <c r="V18" s="287"/>
      <c r="W18" s="287"/>
      <c r="X18" s="287"/>
      <c r="Y18" s="287"/>
      <c r="Z18" s="287"/>
      <c r="AA18" s="287"/>
      <c r="AB18" s="287"/>
      <c r="AC18" s="287"/>
      <c r="AD18" s="287"/>
      <c r="AE18" s="287"/>
      <c r="AF18" s="287"/>
      <c r="AG18" s="128">
        <f t="shared" si="1"/>
        <v>0</v>
      </c>
    </row>
    <row r="19" spans="7:33" x14ac:dyDescent="0.25">
      <c r="U19" s="287"/>
      <c r="V19" s="287"/>
      <c r="W19" s="287"/>
      <c r="X19" s="287"/>
      <c r="Y19" s="287"/>
      <c r="Z19" s="287"/>
      <c r="AA19" s="287"/>
      <c r="AB19" s="287"/>
      <c r="AC19" s="287"/>
      <c r="AD19" s="287"/>
      <c r="AE19" s="287"/>
      <c r="AF19" s="287"/>
      <c r="AG19" s="128">
        <f t="shared" si="1"/>
        <v>0</v>
      </c>
    </row>
    <row r="20" spans="7:33" x14ac:dyDescent="0.25">
      <c r="U20" s="287"/>
      <c r="V20" s="287"/>
      <c r="W20" s="287"/>
      <c r="X20" s="287"/>
      <c r="Y20" s="287"/>
      <c r="Z20" s="287"/>
      <c r="AA20" s="287"/>
      <c r="AB20" s="287"/>
      <c r="AC20" s="287"/>
      <c r="AD20" s="287"/>
      <c r="AE20" s="287"/>
      <c r="AF20" s="287"/>
      <c r="AG20" s="128">
        <f t="shared" si="1"/>
        <v>0</v>
      </c>
    </row>
    <row r="21" spans="7:33" x14ac:dyDescent="0.25">
      <c r="U21" s="287"/>
      <c r="V21" s="287"/>
      <c r="W21" s="287"/>
      <c r="X21" s="287"/>
      <c r="Y21" s="287"/>
      <c r="Z21" s="287"/>
      <c r="AA21" s="287"/>
      <c r="AB21" s="287"/>
      <c r="AC21" s="287"/>
      <c r="AD21" s="287"/>
      <c r="AE21" s="287"/>
      <c r="AF21" s="287"/>
      <c r="AG21" s="128">
        <f t="shared" si="1"/>
        <v>0</v>
      </c>
    </row>
    <row r="22" spans="7:33" x14ac:dyDescent="0.25">
      <c r="U22" s="287"/>
      <c r="V22" s="287"/>
      <c r="W22" s="287"/>
      <c r="X22" s="287"/>
      <c r="Y22" s="287"/>
      <c r="Z22" s="287"/>
      <c r="AA22" s="287"/>
      <c r="AB22" s="287"/>
      <c r="AC22" s="287"/>
      <c r="AD22" s="287"/>
      <c r="AE22" s="287"/>
      <c r="AF22" s="287"/>
      <c r="AG22" s="287"/>
    </row>
  </sheetData>
  <mergeCells count="5">
    <mergeCell ref="A2:A3"/>
    <mergeCell ref="B2:E2"/>
    <mergeCell ref="F2:H2"/>
    <mergeCell ref="I2:AJ2"/>
    <mergeCell ref="AK2:AN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75"/>
  <sheetViews>
    <sheetView tabSelected="1" zoomScale="80" zoomScaleNormal="80" workbookViewId="0">
      <selection activeCell="B282" sqref="B282"/>
    </sheetView>
  </sheetViews>
  <sheetFormatPr baseColWidth="10" defaultRowHeight="15" x14ac:dyDescent="0.25"/>
  <cols>
    <col min="1" max="1" width="11.42578125" style="21"/>
    <col min="2" max="2" width="15.85546875" customWidth="1"/>
    <col min="3" max="3" width="19.28515625" customWidth="1"/>
    <col min="5" max="5" width="27" customWidth="1"/>
    <col min="6" max="6" width="35.7109375" customWidth="1"/>
    <col min="7" max="7" width="22.5703125" style="5" customWidth="1"/>
    <col min="8" max="8" width="20.42578125" customWidth="1"/>
    <col min="10" max="10" width="12.7109375" customWidth="1"/>
    <col min="11" max="11" width="22" customWidth="1"/>
    <col min="12" max="12" width="71.5703125" customWidth="1"/>
    <col min="13" max="13" width="22" style="8" customWidth="1"/>
    <col min="15" max="15" width="16.7109375" customWidth="1"/>
    <col min="16" max="16" width="14.7109375" customWidth="1"/>
    <col min="17" max="17" width="18.85546875" customWidth="1"/>
    <col min="18" max="18" width="14.140625" customWidth="1"/>
    <col min="19" max="19" width="23.28515625" style="7" customWidth="1"/>
    <col min="20" max="20" width="17.28515625" customWidth="1"/>
    <col min="21" max="21" width="21.28515625" style="9" customWidth="1"/>
    <col min="22" max="22" width="19" style="7" customWidth="1"/>
    <col min="23" max="23" width="20.140625" style="7" customWidth="1"/>
    <col min="24" max="24" width="19.5703125" style="7" customWidth="1"/>
    <col min="25" max="25" width="20.28515625" style="7" customWidth="1"/>
    <col min="26" max="26" width="18.85546875" style="7" customWidth="1"/>
    <col min="27" max="27" width="21.140625" style="7" customWidth="1"/>
    <col min="28" max="28" width="18.85546875" style="7" customWidth="1"/>
    <col min="29" max="29" width="18.28515625" style="7" customWidth="1"/>
    <col min="30" max="30" width="18.85546875" style="7" customWidth="1"/>
    <col min="31" max="31" width="18.28515625" style="7" customWidth="1"/>
    <col min="32" max="32" width="18" style="7" customWidth="1"/>
    <col min="33" max="33" width="22.5703125" style="7" customWidth="1"/>
    <col min="34" max="35" width="22.28515625" customWidth="1"/>
    <col min="36" max="36" width="57" customWidth="1"/>
    <col min="37" max="37" width="61.42578125" customWidth="1"/>
    <col min="38" max="38" width="71.28515625" customWidth="1"/>
    <col min="39" max="39" width="10" customWidth="1"/>
    <col min="40" max="40" width="13.42578125" customWidth="1"/>
    <col min="41" max="41" width="20.42578125" customWidth="1"/>
  </cols>
  <sheetData>
    <row r="1" spans="1:41" ht="16.5" thickBot="1" x14ac:dyDescent="0.3">
      <c r="A1" s="1163" t="s">
        <v>721</v>
      </c>
      <c r="B1" s="1151" t="s">
        <v>79</v>
      </c>
      <c r="C1" s="1151"/>
      <c r="D1" s="1151"/>
      <c r="E1" s="1152"/>
      <c r="F1" s="1150" t="s">
        <v>80</v>
      </c>
      <c r="G1" s="1151"/>
      <c r="H1" s="1152"/>
      <c r="I1" s="1166" t="s">
        <v>81</v>
      </c>
      <c r="J1" s="1151"/>
      <c r="K1" s="1151"/>
      <c r="L1" s="1151"/>
      <c r="M1" s="1151"/>
      <c r="N1" s="1151"/>
      <c r="O1" s="1151"/>
      <c r="P1" s="1151"/>
      <c r="Q1" s="1151"/>
      <c r="R1" s="1151"/>
      <c r="S1" s="1151"/>
      <c r="T1" s="1151"/>
      <c r="U1" s="1151"/>
      <c r="V1" s="1151"/>
      <c r="W1" s="1151"/>
      <c r="X1" s="1151"/>
      <c r="Y1" s="1151"/>
      <c r="Z1" s="1151"/>
      <c r="AA1" s="1151"/>
      <c r="AB1" s="1151"/>
      <c r="AC1" s="1151"/>
      <c r="AD1" s="1151"/>
      <c r="AE1" s="1151"/>
      <c r="AF1" s="1151"/>
      <c r="AG1" s="1151"/>
      <c r="AH1" s="1151"/>
      <c r="AI1" s="1151"/>
      <c r="AJ1" s="1152"/>
      <c r="AK1" s="1150" t="s">
        <v>80</v>
      </c>
      <c r="AL1" s="1151"/>
      <c r="AM1" s="1151"/>
      <c r="AN1" s="1152"/>
    </row>
    <row r="2" spans="1:41" ht="42" customHeight="1" x14ac:dyDescent="0.25">
      <c r="A2" s="1163"/>
      <c r="B2" s="595" t="s">
        <v>0</v>
      </c>
      <c r="C2" s="596" t="s">
        <v>6</v>
      </c>
      <c r="D2" s="596" t="s">
        <v>1</v>
      </c>
      <c r="E2" s="596" t="s">
        <v>2</v>
      </c>
      <c r="F2" s="597" t="s">
        <v>3</v>
      </c>
      <c r="G2" s="598" t="s">
        <v>4</v>
      </c>
      <c r="H2" s="597" t="s">
        <v>5</v>
      </c>
      <c r="I2" s="568" t="s">
        <v>721</v>
      </c>
      <c r="J2" s="596" t="s">
        <v>7</v>
      </c>
      <c r="K2" s="596" t="s">
        <v>8</v>
      </c>
      <c r="L2" s="596" t="s">
        <v>9</v>
      </c>
      <c r="M2" s="599" t="s">
        <v>11</v>
      </c>
      <c r="N2" s="596" t="s">
        <v>10</v>
      </c>
      <c r="O2" s="596" t="s">
        <v>12</v>
      </c>
      <c r="P2" s="597" t="s">
        <v>13</v>
      </c>
      <c r="Q2" s="597" t="s">
        <v>14</v>
      </c>
      <c r="R2" s="596" t="s">
        <v>15</v>
      </c>
      <c r="S2" s="599" t="s">
        <v>28</v>
      </c>
      <c r="T2" s="596" t="s">
        <v>16</v>
      </c>
      <c r="U2" s="600" t="s">
        <v>133</v>
      </c>
      <c r="V2" s="599" t="s">
        <v>263</v>
      </c>
      <c r="W2" s="599" t="s">
        <v>17</v>
      </c>
      <c r="X2" s="599" t="s">
        <v>18</v>
      </c>
      <c r="Y2" s="599" t="s">
        <v>280</v>
      </c>
      <c r="Z2" s="599" t="s">
        <v>281</v>
      </c>
      <c r="AA2" s="599" t="s">
        <v>282</v>
      </c>
      <c r="AB2" s="599" t="s">
        <v>283</v>
      </c>
      <c r="AC2" s="599" t="s">
        <v>284</v>
      </c>
      <c r="AD2" s="599" t="s">
        <v>285</v>
      </c>
      <c r="AE2" s="599" t="s">
        <v>286</v>
      </c>
      <c r="AF2" s="599" t="s">
        <v>287</v>
      </c>
      <c r="AG2" s="599" t="s">
        <v>19</v>
      </c>
      <c r="AH2" s="596" t="s">
        <v>20</v>
      </c>
      <c r="AI2" s="596" t="s">
        <v>21</v>
      </c>
      <c r="AJ2" s="596" t="s">
        <v>22</v>
      </c>
      <c r="AK2" s="597" t="s">
        <v>23</v>
      </c>
      <c r="AL2" s="597" t="s">
        <v>24</v>
      </c>
      <c r="AM2" s="601" t="s">
        <v>33</v>
      </c>
      <c r="AN2" s="602" t="s">
        <v>32</v>
      </c>
    </row>
    <row r="3" spans="1:41" ht="88.5" customHeight="1" x14ac:dyDescent="0.25">
      <c r="A3" s="1158">
        <v>1</v>
      </c>
      <c r="B3" s="1167" t="s">
        <v>386</v>
      </c>
      <c r="C3" s="1167" t="s">
        <v>387</v>
      </c>
      <c r="D3" s="1110">
        <v>2013</v>
      </c>
      <c r="E3" s="1110" t="s">
        <v>388</v>
      </c>
      <c r="F3" s="1110" t="s">
        <v>62</v>
      </c>
      <c r="G3" s="1153">
        <v>1000000000</v>
      </c>
      <c r="H3" s="1110" t="s">
        <v>797</v>
      </c>
      <c r="I3" s="605">
        <v>1</v>
      </c>
      <c r="J3" s="281" t="s">
        <v>35</v>
      </c>
      <c r="K3" s="281" t="s">
        <v>25</v>
      </c>
      <c r="L3" s="281" t="s">
        <v>38</v>
      </c>
      <c r="M3" s="606">
        <v>91853465</v>
      </c>
      <c r="N3" s="605" t="s">
        <v>26</v>
      </c>
      <c r="O3" s="607">
        <v>41542</v>
      </c>
      <c r="P3" s="607">
        <v>41603</v>
      </c>
      <c r="Q3" s="607">
        <v>41600</v>
      </c>
      <c r="R3" s="281" t="s">
        <v>27</v>
      </c>
      <c r="S3" s="608">
        <v>92591427</v>
      </c>
      <c r="T3" s="281" t="s">
        <v>29</v>
      </c>
      <c r="U3" s="609">
        <v>91853465</v>
      </c>
      <c r="V3" s="606">
        <v>36741386</v>
      </c>
      <c r="W3" s="606">
        <v>55112079</v>
      </c>
      <c r="X3" s="606"/>
      <c r="Y3" s="606"/>
      <c r="Z3" s="606"/>
      <c r="AA3" s="606"/>
      <c r="AB3" s="606"/>
      <c r="AC3" s="606"/>
      <c r="AD3" s="606"/>
      <c r="AE3" s="606"/>
      <c r="AF3" s="606"/>
      <c r="AG3" s="606">
        <f>SUM(V3:AF3)</f>
        <v>91853465</v>
      </c>
      <c r="AH3" s="605" t="s">
        <v>237</v>
      </c>
      <c r="AI3" s="605" t="s">
        <v>30</v>
      </c>
      <c r="AJ3" s="281" t="s">
        <v>31</v>
      </c>
      <c r="AK3" s="1110" t="s">
        <v>637</v>
      </c>
      <c r="AL3" s="1110" t="s">
        <v>638</v>
      </c>
      <c r="AM3" s="605">
        <v>100</v>
      </c>
      <c r="AN3" s="605">
        <v>100</v>
      </c>
      <c r="AO3" s="1"/>
    </row>
    <row r="4" spans="1:41" ht="57.75" customHeight="1" x14ac:dyDescent="0.25">
      <c r="A4" s="1159"/>
      <c r="B4" s="1167"/>
      <c r="C4" s="1167"/>
      <c r="D4" s="1111"/>
      <c r="E4" s="1111"/>
      <c r="F4" s="1111"/>
      <c r="G4" s="1154"/>
      <c r="H4" s="1111"/>
      <c r="I4" s="605">
        <f>I3+1</f>
        <v>2</v>
      </c>
      <c r="J4" s="281" t="s">
        <v>34</v>
      </c>
      <c r="K4" s="281" t="s">
        <v>36</v>
      </c>
      <c r="L4" s="281" t="s">
        <v>37</v>
      </c>
      <c r="M4" s="606">
        <v>89469398</v>
      </c>
      <c r="N4" s="605" t="s">
        <v>26</v>
      </c>
      <c r="O4" s="607">
        <v>41542</v>
      </c>
      <c r="P4" s="607">
        <v>41602</v>
      </c>
      <c r="Q4" s="607">
        <v>41710</v>
      </c>
      <c r="R4" s="281" t="s">
        <v>39</v>
      </c>
      <c r="S4" s="606">
        <v>92593348</v>
      </c>
      <c r="T4" s="281" t="s">
        <v>681</v>
      </c>
      <c r="U4" s="609">
        <v>89469398</v>
      </c>
      <c r="V4" s="606">
        <v>35787759</v>
      </c>
      <c r="W4" s="606"/>
      <c r="X4" s="606"/>
      <c r="Y4" s="610"/>
      <c r="Z4" s="610"/>
      <c r="AA4" s="610"/>
      <c r="AB4" s="610"/>
      <c r="AC4" s="610"/>
      <c r="AD4" s="610"/>
      <c r="AE4" s="610"/>
      <c r="AF4" s="610"/>
      <c r="AG4" s="610">
        <f t="shared" ref="AG4:AG49" si="0">SUM(V4:AF4)</f>
        <v>35787759</v>
      </c>
      <c r="AH4" s="605" t="s">
        <v>259</v>
      </c>
      <c r="AI4" s="611" t="s">
        <v>30</v>
      </c>
      <c r="AJ4" s="612" t="s">
        <v>40</v>
      </c>
      <c r="AK4" s="1111"/>
      <c r="AL4" s="1111"/>
      <c r="AM4" s="605">
        <v>20</v>
      </c>
      <c r="AN4" s="605">
        <v>40</v>
      </c>
      <c r="AO4" s="11"/>
    </row>
    <row r="5" spans="1:41" ht="45" x14ac:dyDescent="0.25">
      <c r="A5" s="1159"/>
      <c r="B5" s="1167"/>
      <c r="C5" s="1167"/>
      <c r="D5" s="1111"/>
      <c r="E5" s="1111"/>
      <c r="F5" s="1111"/>
      <c r="G5" s="1154"/>
      <c r="H5" s="1111"/>
      <c r="I5" s="605">
        <f t="shared" ref="I5:I12" si="1">I4+1</f>
        <v>3</v>
      </c>
      <c r="J5" s="281" t="s">
        <v>48</v>
      </c>
      <c r="K5" s="281" t="s">
        <v>41</v>
      </c>
      <c r="L5" s="281" t="s">
        <v>55</v>
      </c>
      <c r="M5" s="606">
        <v>90278672</v>
      </c>
      <c r="N5" s="605" t="s">
        <v>26</v>
      </c>
      <c r="O5" s="607">
        <v>41542</v>
      </c>
      <c r="P5" s="607">
        <v>41602</v>
      </c>
      <c r="Q5" s="607">
        <v>41602</v>
      </c>
      <c r="R5" s="281" t="s">
        <v>267</v>
      </c>
      <c r="S5" s="606">
        <v>92592593</v>
      </c>
      <c r="T5" s="281" t="s">
        <v>268</v>
      </c>
      <c r="U5" s="609">
        <v>90278672</v>
      </c>
      <c r="V5" s="606">
        <v>36111468.799999997</v>
      </c>
      <c r="W5" s="606"/>
      <c r="X5" s="606"/>
      <c r="Y5" s="610"/>
      <c r="Z5" s="610"/>
      <c r="AA5" s="610"/>
      <c r="AB5" s="610"/>
      <c r="AC5" s="610"/>
      <c r="AD5" s="610"/>
      <c r="AE5" s="610"/>
      <c r="AF5" s="610"/>
      <c r="AG5" s="610">
        <f t="shared" si="0"/>
        <v>36111468.799999997</v>
      </c>
      <c r="AH5" s="281" t="s">
        <v>260</v>
      </c>
      <c r="AI5" s="611" t="s">
        <v>30</v>
      </c>
      <c r="AJ5" s="612" t="s">
        <v>71</v>
      </c>
      <c r="AK5" s="1111"/>
      <c r="AL5" s="1111"/>
      <c r="AM5" s="605">
        <v>100</v>
      </c>
      <c r="AN5" s="605">
        <v>40</v>
      </c>
      <c r="AO5" s="1"/>
    </row>
    <row r="6" spans="1:41" ht="30" x14ac:dyDescent="0.25">
      <c r="A6" s="1159"/>
      <c r="B6" s="1167"/>
      <c r="C6" s="1167"/>
      <c r="D6" s="1111"/>
      <c r="E6" s="1111"/>
      <c r="F6" s="1111"/>
      <c r="G6" s="1154"/>
      <c r="H6" s="1111"/>
      <c r="I6" s="605">
        <f t="shared" si="1"/>
        <v>4</v>
      </c>
      <c r="J6" s="281" t="s">
        <v>49</v>
      </c>
      <c r="K6" s="281" t="s">
        <v>42</v>
      </c>
      <c r="L6" s="281" t="s">
        <v>56</v>
      </c>
      <c r="M6" s="606">
        <v>91582153</v>
      </c>
      <c r="N6" s="605" t="s">
        <v>26</v>
      </c>
      <c r="O6" s="607">
        <v>41542</v>
      </c>
      <c r="P6" s="607">
        <v>41602</v>
      </c>
      <c r="Q6" s="607">
        <v>41602</v>
      </c>
      <c r="R6" s="281" t="s">
        <v>65</v>
      </c>
      <c r="S6" s="606">
        <v>92592593</v>
      </c>
      <c r="T6" s="281" t="s">
        <v>682</v>
      </c>
      <c r="U6" s="606">
        <v>91582153</v>
      </c>
      <c r="V6" s="606">
        <v>36632861.200000003</v>
      </c>
      <c r="W6" s="606">
        <v>54949291.799999997</v>
      </c>
      <c r="X6" s="606"/>
      <c r="Y6" s="610"/>
      <c r="Z6" s="610"/>
      <c r="AA6" s="610"/>
      <c r="AB6" s="610"/>
      <c r="AC6" s="610"/>
      <c r="AD6" s="610"/>
      <c r="AE6" s="610"/>
      <c r="AF6" s="610"/>
      <c r="AG6" s="610">
        <f t="shared" si="0"/>
        <v>91582153</v>
      </c>
      <c r="AH6" s="605" t="s">
        <v>237</v>
      </c>
      <c r="AI6" s="611" t="s">
        <v>30</v>
      </c>
      <c r="AJ6" s="612" t="s">
        <v>72</v>
      </c>
      <c r="AK6" s="1111"/>
      <c r="AL6" s="1111"/>
      <c r="AM6" s="605">
        <v>100</v>
      </c>
      <c r="AN6" s="605">
        <v>100</v>
      </c>
      <c r="AO6" s="1"/>
    </row>
    <row r="7" spans="1:41" ht="30" x14ac:dyDescent="0.25">
      <c r="A7" s="1159"/>
      <c r="B7" s="1167"/>
      <c r="C7" s="1167"/>
      <c r="D7" s="1111"/>
      <c r="E7" s="1111"/>
      <c r="F7" s="1111"/>
      <c r="G7" s="1154"/>
      <c r="H7" s="1111"/>
      <c r="I7" s="605">
        <f t="shared" si="1"/>
        <v>5</v>
      </c>
      <c r="J7" s="281" t="s">
        <v>50</v>
      </c>
      <c r="K7" s="281" t="s">
        <v>43</v>
      </c>
      <c r="L7" s="281" t="s">
        <v>57</v>
      </c>
      <c r="M7" s="606">
        <v>91839522</v>
      </c>
      <c r="N7" s="605" t="s">
        <v>26</v>
      </c>
      <c r="O7" s="607">
        <v>41542</v>
      </c>
      <c r="P7" s="607">
        <v>41602</v>
      </c>
      <c r="Q7" s="607">
        <v>41636</v>
      </c>
      <c r="R7" s="281" t="s">
        <v>66</v>
      </c>
      <c r="S7" s="606">
        <v>92634697</v>
      </c>
      <c r="T7" s="281" t="s">
        <v>69</v>
      </c>
      <c r="U7" s="609">
        <v>91839522</v>
      </c>
      <c r="V7" s="606">
        <v>36735808</v>
      </c>
      <c r="W7" s="606">
        <v>32714144</v>
      </c>
      <c r="X7" s="606"/>
      <c r="Y7" s="610"/>
      <c r="Z7" s="610"/>
      <c r="AA7" s="610"/>
      <c r="AB7" s="610"/>
      <c r="AC7" s="610"/>
      <c r="AD7" s="610"/>
      <c r="AE7" s="610"/>
      <c r="AF7" s="610"/>
      <c r="AG7" s="610">
        <f t="shared" si="0"/>
        <v>69449952</v>
      </c>
      <c r="AH7" s="281" t="s">
        <v>260</v>
      </c>
      <c r="AI7" s="611" t="s">
        <v>30</v>
      </c>
      <c r="AJ7" s="612" t="s">
        <v>73</v>
      </c>
      <c r="AK7" s="1111"/>
      <c r="AL7" s="1111"/>
      <c r="AM7" s="605">
        <v>100</v>
      </c>
      <c r="AN7" s="605">
        <v>75.599999999999994</v>
      </c>
      <c r="AO7" s="1"/>
    </row>
    <row r="8" spans="1:41" ht="124.15" customHeight="1" x14ac:dyDescent="0.25">
      <c r="A8" s="1159"/>
      <c r="B8" s="1167"/>
      <c r="C8" s="1167"/>
      <c r="D8" s="1111"/>
      <c r="E8" s="1111"/>
      <c r="F8" s="1111"/>
      <c r="G8" s="1154"/>
      <c r="H8" s="1111"/>
      <c r="I8" s="605">
        <f t="shared" si="1"/>
        <v>6</v>
      </c>
      <c r="J8" s="281" t="s">
        <v>51</v>
      </c>
      <c r="K8" s="281" t="s">
        <v>44</v>
      </c>
      <c r="L8" s="281" t="s">
        <v>58</v>
      </c>
      <c r="M8" s="606">
        <v>74072000</v>
      </c>
      <c r="N8" s="605" t="s">
        <v>63</v>
      </c>
      <c r="O8" s="607">
        <v>41542</v>
      </c>
      <c r="P8" s="607">
        <v>41633</v>
      </c>
      <c r="Q8" s="607">
        <v>41664</v>
      </c>
      <c r="R8" s="281" t="s">
        <v>417</v>
      </c>
      <c r="S8" s="606">
        <v>74074072</v>
      </c>
      <c r="T8" s="281" t="s">
        <v>683</v>
      </c>
      <c r="U8" s="606">
        <v>74072000</v>
      </c>
      <c r="V8" s="606">
        <v>29628800</v>
      </c>
      <c r="W8" s="606"/>
      <c r="X8" s="606"/>
      <c r="Y8" s="610"/>
      <c r="Z8" s="610"/>
      <c r="AA8" s="610"/>
      <c r="AB8" s="610"/>
      <c r="AC8" s="610"/>
      <c r="AD8" s="610"/>
      <c r="AE8" s="610"/>
      <c r="AF8" s="610"/>
      <c r="AG8" s="610">
        <f t="shared" si="0"/>
        <v>29628800</v>
      </c>
      <c r="AH8" s="605" t="s">
        <v>248</v>
      </c>
      <c r="AI8" s="611" t="s">
        <v>30</v>
      </c>
      <c r="AJ8" s="612" t="s">
        <v>74</v>
      </c>
      <c r="AK8" s="1111"/>
      <c r="AL8" s="1111"/>
      <c r="AM8" s="605">
        <v>80</v>
      </c>
      <c r="AN8" s="605">
        <v>40</v>
      </c>
      <c r="AO8" s="1"/>
    </row>
    <row r="9" spans="1:41" ht="60" x14ac:dyDescent="0.25">
      <c r="A9" s="1159"/>
      <c r="B9" s="1167"/>
      <c r="C9" s="1167"/>
      <c r="D9" s="1111"/>
      <c r="E9" s="1111"/>
      <c r="F9" s="1111"/>
      <c r="G9" s="1154"/>
      <c r="H9" s="1111"/>
      <c r="I9" s="605">
        <f t="shared" si="1"/>
        <v>7</v>
      </c>
      <c r="J9" s="281" t="s">
        <v>52</v>
      </c>
      <c r="K9" s="281" t="s">
        <v>45</v>
      </c>
      <c r="L9" s="281" t="s">
        <v>59</v>
      </c>
      <c r="M9" s="606">
        <v>182814080</v>
      </c>
      <c r="N9" s="605" t="s">
        <v>63</v>
      </c>
      <c r="O9" s="607">
        <v>41542</v>
      </c>
      <c r="P9" s="607">
        <v>41632</v>
      </c>
      <c r="Q9" s="607">
        <v>41707</v>
      </c>
      <c r="R9" s="281" t="s">
        <v>261</v>
      </c>
      <c r="S9" s="608">
        <v>185143682</v>
      </c>
      <c r="T9" s="281" t="s">
        <v>684</v>
      </c>
      <c r="U9" s="608">
        <v>182814080</v>
      </c>
      <c r="V9" s="606">
        <v>73125632</v>
      </c>
      <c r="W9" s="606">
        <v>27036775</v>
      </c>
      <c r="X9" s="606"/>
      <c r="Y9" s="610"/>
      <c r="Z9" s="610"/>
      <c r="AA9" s="610"/>
      <c r="AB9" s="610"/>
      <c r="AC9" s="610"/>
      <c r="AD9" s="610"/>
      <c r="AE9" s="610"/>
      <c r="AF9" s="610"/>
      <c r="AG9" s="610">
        <f t="shared" si="0"/>
        <v>100162407</v>
      </c>
      <c r="AH9" s="281" t="s">
        <v>260</v>
      </c>
      <c r="AI9" s="611" t="s">
        <v>30</v>
      </c>
      <c r="AJ9" s="612" t="s">
        <v>75</v>
      </c>
      <c r="AK9" s="1111"/>
      <c r="AL9" s="1111"/>
      <c r="AM9" s="605">
        <v>95</v>
      </c>
      <c r="AN9" s="605">
        <v>54.8</v>
      </c>
      <c r="AO9" s="1"/>
    </row>
    <row r="10" spans="1:41" ht="30" x14ac:dyDescent="0.25">
      <c r="A10" s="1159"/>
      <c r="B10" s="1167"/>
      <c r="C10" s="1167"/>
      <c r="D10" s="1111"/>
      <c r="E10" s="1111"/>
      <c r="F10" s="1111"/>
      <c r="G10" s="1154"/>
      <c r="H10" s="1111"/>
      <c r="I10" s="605">
        <f t="shared" si="1"/>
        <v>8</v>
      </c>
      <c r="J10" s="281" t="s">
        <v>53</v>
      </c>
      <c r="K10" s="281" t="s">
        <v>46</v>
      </c>
      <c r="L10" s="281" t="s">
        <v>60</v>
      </c>
      <c r="M10" s="606">
        <v>92086106</v>
      </c>
      <c r="N10" s="605" t="s">
        <v>64</v>
      </c>
      <c r="O10" s="607">
        <v>41590</v>
      </c>
      <c r="P10" s="607">
        <v>41634</v>
      </c>
      <c r="Q10" s="607">
        <v>41707</v>
      </c>
      <c r="R10" s="281" t="s">
        <v>67</v>
      </c>
      <c r="S10" s="606">
        <v>92592593</v>
      </c>
      <c r="T10" s="281" t="s">
        <v>685</v>
      </c>
      <c r="U10" s="613">
        <f>+M10</f>
        <v>92086106</v>
      </c>
      <c r="V10" s="606">
        <v>36834442</v>
      </c>
      <c r="W10" s="606"/>
      <c r="X10" s="606"/>
      <c r="Y10" s="610"/>
      <c r="Z10" s="610"/>
      <c r="AA10" s="610"/>
      <c r="AB10" s="610"/>
      <c r="AC10" s="610"/>
      <c r="AD10" s="610"/>
      <c r="AE10" s="610"/>
      <c r="AF10" s="610"/>
      <c r="AG10" s="610">
        <f t="shared" si="0"/>
        <v>36834442</v>
      </c>
      <c r="AH10" s="605" t="s">
        <v>248</v>
      </c>
      <c r="AI10" s="611" t="s">
        <v>30</v>
      </c>
      <c r="AJ10" s="612" t="s">
        <v>76</v>
      </c>
      <c r="AK10" s="1111"/>
      <c r="AL10" s="1111"/>
      <c r="AM10" s="605">
        <v>85</v>
      </c>
      <c r="AN10" s="605">
        <v>40</v>
      </c>
      <c r="AO10" s="1"/>
    </row>
    <row r="11" spans="1:41" ht="40.9" customHeight="1" x14ac:dyDescent="0.25">
      <c r="A11" s="1159"/>
      <c r="B11" s="1167"/>
      <c r="C11" s="1167"/>
      <c r="D11" s="1111"/>
      <c r="E11" s="1111"/>
      <c r="F11" s="1111"/>
      <c r="G11" s="1154"/>
      <c r="H11" s="1111"/>
      <c r="I11" s="605">
        <f t="shared" si="1"/>
        <v>9</v>
      </c>
      <c r="J11" s="281" t="s">
        <v>262</v>
      </c>
      <c r="K11" s="281" t="s">
        <v>269</v>
      </c>
      <c r="L11" s="281" t="s">
        <v>270</v>
      </c>
      <c r="M11" s="606">
        <v>91666478</v>
      </c>
      <c r="N11" s="605" t="s">
        <v>26</v>
      </c>
      <c r="O11" s="607">
        <v>41542</v>
      </c>
      <c r="P11" s="607">
        <v>41602</v>
      </c>
      <c r="Q11" s="607">
        <v>41615</v>
      </c>
      <c r="R11" s="281" t="s">
        <v>271</v>
      </c>
      <c r="S11" s="606">
        <v>92595593</v>
      </c>
      <c r="T11" s="281" t="s">
        <v>272</v>
      </c>
      <c r="U11" s="609">
        <v>91666478</v>
      </c>
      <c r="V11" s="606">
        <v>36666592.200000003</v>
      </c>
      <c r="W11" s="606">
        <v>54999886.799999997</v>
      </c>
      <c r="X11" s="606"/>
      <c r="Y11" s="610"/>
      <c r="Z11" s="610"/>
      <c r="AA11" s="610"/>
      <c r="AB11" s="610"/>
      <c r="AC11" s="610"/>
      <c r="AD11" s="610"/>
      <c r="AE11" s="610"/>
      <c r="AF11" s="610"/>
      <c r="AG11" s="610">
        <f t="shared" si="0"/>
        <v>91666479</v>
      </c>
      <c r="AH11" s="605" t="s">
        <v>237</v>
      </c>
      <c r="AI11" s="611" t="s">
        <v>30</v>
      </c>
      <c r="AJ11" s="612" t="s">
        <v>273</v>
      </c>
      <c r="AK11" s="1111"/>
      <c r="AL11" s="1111"/>
      <c r="AM11" s="605">
        <v>100</v>
      </c>
      <c r="AN11" s="614">
        <v>100</v>
      </c>
      <c r="AO11" s="1"/>
    </row>
    <row r="12" spans="1:41" ht="30" x14ac:dyDescent="0.25">
      <c r="A12" s="1159"/>
      <c r="B12" s="1110"/>
      <c r="C12" s="1110"/>
      <c r="D12" s="1111"/>
      <c r="E12" s="1111"/>
      <c r="F12" s="1111"/>
      <c r="G12" s="1155"/>
      <c r="H12" s="1111"/>
      <c r="I12" s="605">
        <f t="shared" si="1"/>
        <v>10</v>
      </c>
      <c r="J12" s="615" t="s">
        <v>54</v>
      </c>
      <c r="K12" s="615" t="s">
        <v>47</v>
      </c>
      <c r="L12" s="615" t="s">
        <v>61</v>
      </c>
      <c r="M12" s="616">
        <v>92108844</v>
      </c>
      <c r="N12" s="617" t="s">
        <v>64</v>
      </c>
      <c r="O12" s="618">
        <v>41590</v>
      </c>
      <c r="P12" s="618">
        <v>41634</v>
      </c>
      <c r="Q12" s="618">
        <v>41663</v>
      </c>
      <c r="R12" s="615" t="s">
        <v>68</v>
      </c>
      <c r="S12" s="616">
        <v>92592402</v>
      </c>
      <c r="T12" s="615" t="s">
        <v>70</v>
      </c>
      <c r="U12" s="619">
        <v>92108844</v>
      </c>
      <c r="V12" s="616">
        <v>36843538</v>
      </c>
      <c r="W12" s="616">
        <v>22894916</v>
      </c>
      <c r="X12" s="616"/>
      <c r="Y12" s="620"/>
      <c r="Z12" s="620"/>
      <c r="AA12" s="620"/>
      <c r="AB12" s="620"/>
      <c r="AC12" s="620"/>
      <c r="AD12" s="620"/>
      <c r="AE12" s="620"/>
      <c r="AF12" s="620"/>
      <c r="AG12" s="620">
        <f t="shared" si="0"/>
        <v>59738454</v>
      </c>
      <c r="AH12" s="615" t="s">
        <v>260</v>
      </c>
      <c r="AI12" s="621" t="s">
        <v>30</v>
      </c>
      <c r="AJ12" s="622" t="s">
        <v>77</v>
      </c>
      <c r="AK12" s="1112"/>
      <c r="AL12" s="1112"/>
      <c r="AM12" s="617">
        <v>100</v>
      </c>
      <c r="AN12" s="617">
        <v>64.900000000000006</v>
      </c>
      <c r="AO12" s="1"/>
    </row>
    <row r="13" spans="1:41" x14ac:dyDescent="0.25">
      <c r="A13" s="1160"/>
      <c r="B13" s="281"/>
      <c r="C13" s="281"/>
      <c r="D13" s="281"/>
      <c r="E13" s="281"/>
      <c r="F13" s="281"/>
      <c r="G13" s="606"/>
      <c r="H13" s="281"/>
      <c r="I13" s="281"/>
      <c r="J13" s="281"/>
      <c r="K13" s="281"/>
      <c r="L13" s="281"/>
      <c r="M13" s="606">
        <f>SUM(M3:M12)</f>
        <v>987770718</v>
      </c>
      <c r="N13" s="605"/>
      <c r="O13" s="607"/>
      <c r="P13" s="607"/>
      <c r="Q13" s="607"/>
      <c r="R13" s="281"/>
      <c r="S13" s="606">
        <f>SUM(S3:S12)</f>
        <v>1000003000</v>
      </c>
      <c r="T13" s="281"/>
      <c r="U13" s="609">
        <f>SUM(U3:U12)</f>
        <v>987770718</v>
      </c>
      <c r="V13" s="606"/>
      <c r="W13" s="606"/>
      <c r="X13" s="606"/>
      <c r="Y13" s="606"/>
      <c r="Z13" s="606"/>
      <c r="AA13" s="606"/>
      <c r="AB13" s="606"/>
      <c r="AC13" s="606"/>
      <c r="AD13" s="606"/>
      <c r="AE13" s="606"/>
      <c r="AF13" s="606"/>
      <c r="AG13" s="606">
        <f>SUM(AG3:AG12)</f>
        <v>642815379.79999995</v>
      </c>
      <c r="AH13" s="281"/>
      <c r="AI13" s="605"/>
      <c r="AJ13" s="281"/>
      <c r="AK13" s="623"/>
      <c r="AL13" s="623"/>
      <c r="AM13" s="605">
        <f>SUM(AM3:AM12)/10</f>
        <v>88</v>
      </c>
      <c r="AN13" s="605">
        <f>SUM(AN3:AN12)/10</f>
        <v>65.53</v>
      </c>
      <c r="AO13" s="1"/>
    </row>
    <row r="14" spans="1:41" ht="105" x14ac:dyDescent="0.25">
      <c r="A14" s="1161">
        <v>2</v>
      </c>
      <c r="B14" s="1114" t="s">
        <v>386</v>
      </c>
      <c r="C14" s="1114" t="s">
        <v>387</v>
      </c>
      <c r="D14" s="1114">
        <v>2013</v>
      </c>
      <c r="E14" s="1164" t="s">
        <v>389</v>
      </c>
      <c r="F14" s="1114" t="s">
        <v>78</v>
      </c>
      <c r="G14" s="1156">
        <v>5288946000</v>
      </c>
      <c r="H14" s="1114" t="s">
        <v>135</v>
      </c>
      <c r="I14" s="16">
        <v>1</v>
      </c>
      <c r="J14" s="624" t="s">
        <v>90</v>
      </c>
      <c r="K14" s="624" t="s">
        <v>134</v>
      </c>
      <c r="L14" s="624" t="s">
        <v>89</v>
      </c>
      <c r="M14" s="625">
        <v>508914445</v>
      </c>
      <c r="N14" s="626" t="s">
        <v>200</v>
      </c>
      <c r="O14" s="627">
        <v>41585</v>
      </c>
      <c r="P14" s="627">
        <v>41639</v>
      </c>
      <c r="Q14" s="627">
        <v>41692</v>
      </c>
      <c r="R14" s="624" t="s">
        <v>211</v>
      </c>
      <c r="S14" s="625">
        <v>518743372</v>
      </c>
      <c r="T14" s="624" t="s">
        <v>212</v>
      </c>
      <c r="U14" s="628">
        <v>508914445</v>
      </c>
      <c r="V14" s="625">
        <v>213293542.5</v>
      </c>
      <c r="W14" s="625">
        <v>243843256.15000001</v>
      </c>
      <c r="X14" s="625">
        <v>51777600</v>
      </c>
      <c r="Y14" s="625"/>
      <c r="Z14" s="625"/>
      <c r="AA14" s="625"/>
      <c r="AB14" s="625"/>
      <c r="AC14" s="625"/>
      <c r="AD14" s="625"/>
      <c r="AE14" s="625"/>
      <c r="AF14" s="625"/>
      <c r="AG14" s="625">
        <f t="shared" si="0"/>
        <v>508914398.64999998</v>
      </c>
      <c r="AH14" s="624" t="s">
        <v>238</v>
      </c>
      <c r="AI14" s="629" t="s">
        <v>94</v>
      </c>
      <c r="AJ14" s="624" t="s">
        <v>249</v>
      </c>
      <c r="AK14" s="1114" t="s">
        <v>78</v>
      </c>
      <c r="AL14" s="1113" t="s">
        <v>792</v>
      </c>
      <c r="AM14" s="626">
        <v>100</v>
      </c>
      <c r="AN14" s="626">
        <v>100</v>
      </c>
      <c r="AO14" s="1"/>
    </row>
    <row r="15" spans="1:41" ht="131.25" customHeight="1" x14ac:dyDescent="0.25">
      <c r="A15" s="1157"/>
      <c r="B15" s="1114"/>
      <c r="C15" s="1114"/>
      <c r="D15" s="1114"/>
      <c r="E15" s="1164"/>
      <c r="F15" s="1114"/>
      <c r="G15" s="1156"/>
      <c r="H15" s="1157"/>
      <c r="I15" s="16">
        <f>I14+1</f>
        <v>2</v>
      </c>
      <c r="J15" s="579" t="s">
        <v>91</v>
      </c>
      <c r="K15" s="630" t="s">
        <v>738</v>
      </c>
      <c r="L15" s="579" t="s">
        <v>127</v>
      </c>
      <c r="M15" s="631">
        <v>29612770</v>
      </c>
      <c r="N15" s="16" t="s">
        <v>201</v>
      </c>
      <c r="O15" s="17">
        <v>41556</v>
      </c>
      <c r="P15" s="17">
        <v>41639</v>
      </c>
      <c r="Q15" s="17">
        <v>41639</v>
      </c>
      <c r="R15" s="579" t="s">
        <v>213</v>
      </c>
      <c r="S15" s="631">
        <v>36312036</v>
      </c>
      <c r="T15" s="579" t="s">
        <v>214</v>
      </c>
      <c r="U15" s="632">
        <v>29612770</v>
      </c>
      <c r="V15" s="631">
        <v>11845108</v>
      </c>
      <c r="W15" s="631">
        <v>7284742</v>
      </c>
      <c r="X15" s="631"/>
      <c r="Y15" s="631"/>
      <c r="Z15" s="631"/>
      <c r="AA15" s="631"/>
      <c r="AB15" s="631"/>
      <c r="AC15" s="631"/>
      <c r="AD15" s="631"/>
      <c r="AE15" s="631"/>
      <c r="AF15" s="631"/>
      <c r="AG15" s="625">
        <f t="shared" si="0"/>
        <v>19129850</v>
      </c>
      <c r="AH15" s="579" t="s">
        <v>173</v>
      </c>
      <c r="AI15" s="579" t="s">
        <v>242</v>
      </c>
      <c r="AJ15" s="579" t="s">
        <v>249</v>
      </c>
      <c r="AK15" s="1114"/>
      <c r="AL15" s="1114"/>
      <c r="AM15" s="16">
        <v>100</v>
      </c>
      <c r="AN15" s="633">
        <f t="shared" ref="AN15:AN26" si="2">(AG15*100)/M15</f>
        <v>64.60000195861447</v>
      </c>
      <c r="AO15" s="1"/>
    </row>
    <row r="16" spans="1:41" ht="30" x14ac:dyDescent="0.25">
      <c r="A16" s="1157"/>
      <c r="B16" s="1114"/>
      <c r="C16" s="1114"/>
      <c r="D16" s="1114"/>
      <c r="E16" s="1164"/>
      <c r="F16" s="1114"/>
      <c r="G16" s="1156"/>
      <c r="H16" s="1157"/>
      <c r="I16" s="16">
        <f t="shared" ref="I16:I31" si="3">I15+1</f>
        <v>3</v>
      </c>
      <c r="J16" s="579" t="s">
        <v>92</v>
      </c>
      <c r="K16" s="579" t="s">
        <v>113</v>
      </c>
      <c r="L16" s="579" t="s">
        <v>82</v>
      </c>
      <c r="M16" s="631">
        <v>403938012</v>
      </c>
      <c r="N16" s="16" t="s">
        <v>200</v>
      </c>
      <c r="O16" s="17">
        <v>41590</v>
      </c>
      <c r="P16" s="17"/>
      <c r="Q16" s="17">
        <v>41697</v>
      </c>
      <c r="R16" s="579" t="s">
        <v>215</v>
      </c>
      <c r="S16" s="631">
        <v>408452152</v>
      </c>
      <c r="T16" s="579" t="s">
        <v>216</v>
      </c>
      <c r="U16" s="632">
        <v>403938012</v>
      </c>
      <c r="V16" s="631">
        <v>161575204.80000001</v>
      </c>
      <c r="W16" s="631"/>
      <c r="X16" s="631"/>
      <c r="Y16" s="631"/>
      <c r="Z16" s="631"/>
      <c r="AA16" s="631"/>
      <c r="AB16" s="631"/>
      <c r="AC16" s="631"/>
      <c r="AD16" s="631"/>
      <c r="AE16" s="631"/>
      <c r="AF16" s="631"/>
      <c r="AG16" s="625">
        <f t="shared" si="0"/>
        <v>161575204.80000001</v>
      </c>
      <c r="AH16" s="579" t="s">
        <v>246</v>
      </c>
      <c r="AI16" s="579" t="s">
        <v>95</v>
      </c>
      <c r="AJ16" s="579" t="s">
        <v>251</v>
      </c>
      <c r="AK16" s="1114"/>
      <c r="AL16" s="1114"/>
      <c r="AM16" s="16">
        <v>80</v>
      </c>
      <c r="AN16" s="633">
        <f t="shared" si="2"/>
        <v>40.000000000000007</v>
      </c>
      <c r="AO16" s="1"/>
    </row>
    <row r="17" spans="1:41" ht="107.25" customHeight="1" x14ac:dyDescent="0.25">
      <c r="A17" s="1157"/>
      <c r="B17" s="1114"/>
      <c r="C17" s="1114"/>
      <c r="D17" s="1114"/>
      <c r="E17" s="1164"/>
      <c r="F17" s="1114"/>
      <c r="G17" s="1156"/>
      <c r="H17" s="1157"/>
      <c r="I17" s="16">
        <f t="shared" si="3"/>
        <v>4</v>
      </c>
      <c r="J17" s="579" t="s">
        <v>93</v>
      </c>
      <c r="K17" s="630" t="s">
        <v>737</v>
      </c>
      <c r="L17" s="579" t="s">
        <v>126</v>
      </c>
      <c r="M17" s="631">
        <v>24777600</v>
      </c>
      <c r="N17" s="16" t="s">
        <v>63</v>
      </c>
      <c r="O17" s="25" t="s">
        <v>209</v>
      </c>
      <c r="P17" s="17">
        <v>41639</v>
      </c>
      <c r="Q17" s="17">
        <v>41697</v>
      </c>
      <c r="R17" s="579" t="s">
        <v>217</v>
      </c>
      <c r="S17" s="631">
        <v>28591651</v>
      </c>
      <c r="T17" s="579" t="s">
        <v>218</v>
      </c>
      <c r="U17" s="632">
        <v>24777600</v>
      </c>
      <c r="V17" s="631">
        <v>9911040</v>
      </c>
      <c r="W17" s="631"/>
      <c r="X17" s="631"/>
      <c r="Y17" s="631"/>
      <c r="Z17" s="631"/>
      <c r="AA17" s="631"/>
      <c r="AB17" s="631"/>
      <c r="AC17" s="631"/>
      <c r="AD17" s="631"/>
      <c r="AE17" s="631"/>
      <c r="AF17" s="631"/>
      <c r="AG17" s="625">
        <f t="shared" si="0"/>
        <v>9911040</v>
      </c>
      <c r="AH17" s="16" t="s">
        <v>243</v>
      </c>
      <c r="AI17" s="579" t="s">
        <v>242</v>
      </c>
      <c r="AJ17" s="579" t="s">
        <v>251</v>
      </c>
      <c r="AK17" s="1114"/>
      <c r="AL17" s="1114"/>
      <c r="AM17" s="16">
        <v>90</v>
      </c>
      <c r="AN17" s="633">
        <f t="shared" si="2"/>
        <v>40</v>
      </c>
      <c r="AO17" s="1"/>
    </row>
    <row r="18" spans="1:41" ht="75" x14ac:dyDescent="0.25">
      <c r="A18" s="1157"/>
      <c r="B18" s="1114"/>
      <c r="C18" s="1114"/>
      <c r="D18" s="1114"/>
      <c r="E18" s="1164"/>
      <c r="F18" s="1114"/>
      <c r="G18" s="1156"/>
      <c r="H18" s="1157"/>
      <c r="I18" s="16">
        <f t="shared" si="3"/>
        <v>5</v>
      </c>
      <c r="J18" s="579" t="s">
        <v>96</v>
      </c>
      <c r="K18" s="579" t="s">
        <v>114</v>
      </c>
      <c r="L18" s="579" t="s">
        <v>83</v>
      </c>
      <c r="M18" s="631">
        <v>403152000</v>
      </c>
      <c r="N18" s="16" t="s">
        <v>200</v>
      </c>
      <c r="O18" s="17">
        <v>41536</v>
      </c>
      <c r="P18" s="17">
        <v>41639</v>
      </c>
      <c r="Q18" s="17" t="s">
        <v>266</v>
      </c>
      <c r="R18" s="579" t="s">
        <v>219</v>
      </c>
      <c r="S18" s="631">
        <v>408201064</v>
      </c>
      <c r="T18" s="579" t="s">
        <v>686</v>
      </c>
      <c r="U18" s="632">
        <v>403152000</v>
      </c>
      <c r="V18" s="631">
        <v>161260800</v>
      </c>
      <c r="W18" s="631"/>
      <c r="X18" s="631"/>
      <c r="Y18" s="631"/>
      <c r="Z18" s="631"/>
      <c r="AA18" s="631"/>
      <c r="AB18" s="631"/>
      <c r="AC18" s="631"/>
      <c r="AD18" s="631"/>
      <c r="AE18" s="631"/>
      <c r="AF18" s="631"/>
      <c r="AG18" s="625">
        <f t="shared" si="0"/>
        <v>161260800</v>
      </c>
      <c r="AH18" s="16" t="s">
        <v>243</v>
      </c>
      <c r="AI18" s="634" t="s">
        <v>98</v>
      </c>
      <c r="AJ18" s="579" t="s">
        <v>250</v>
      </c>
      <c r="AK18" s="1114"/>
      <c r="AL18" s="1114"/>
      <c r="AM18" s="16">
        <v>90</v>
      </c>
      <c r="AN18" s="633">
        <f t="shared" si="2"/>
        <v>40</v>
      </c>
      <c r="AO18" s="1"/>
    </row>
    <row r="19" spans="1:41" ht="114.75" customHeight="1" x14ac:dyDescent="0.25">
      <c r="A19" s="1157"/>
      <c r="B19" s="1114"/>
      <c r="C19" s="1114"/>
      <c r="D19" s="1114"/>
      <c r="E19" s="1164"/>
      <c r="F19" s="1114"/>
      <c r="G19" s="1156"/>
      <c r="H19" s="1157"/>
      <c r="I19" s="16">
        <f t="shared" si="3"/>
        <v>6</v>
      </c>
      <c r="J19" s="579" t="s">
        <v>97</v>
      </c>
      <c r="K19" s="630" t="s">
        <v>121</v>
      </c>
      <c r="L19" s="579" t="s">
        <v>128</v>
      </c>
      <c r="M19" s="631">
        <v>24287960</v>
      </c>
      <c r="N19" s="16" t="s">
        <v>63</v>
      </c>
      <c r="O19" s="17">
        <v>41551</v>
      </c>
      <c r="P19" s="17">
        <v>41639</v>
      </c>
      <c r="Q19" s="17">
        <v>41639</v>
      </c>
      <c r="R19" s="579" t="s">
        <v>220</v>
      </c>
      <c r="S19" s="631">
        <v>28574074</v>
      </c>
      <c r="T19" s="579" t="s">
        <v>687</v>
      </c>
      <c r="U19" s="632">
        <v>24287962</v>
      </c>
      <c r="V19" s="631">
        <v>9715184.8000000007</v>
      </c>
      <c r="W19" s="631"/>
      <c r="X19" s="631"/>
      <c r="Y19" s="631"/>
      <c r="Z19" s="631"/>
      <c r="AA19" s="631"/>
      <c r="AB19" s="631"/>
      <c r="AC19" s="631"/>
      <c r="AD19" s="631"/>
      <c r="AE19" s="631"/>
      <c r="AF19" s="631"/>
      <c r="AG19" s="625">
        <f t="shared" si="0"/>
        <v>9715184.8000000007</v>
      </c>
      <c r="AH19" s="16" t="s">
        <v>243</v>
      </c>
      <c r="AI19" s="579" t="s">
        <v>244</v>
      </c>
      <c r="AJ19" s="579" t="s">
        <v>250</v>
      </c>
      <c r="AK19" s="1114"/>
      <c r="AL19" s="1114"/>
      <c r="AM19" s="16">
        <v>90</v>
      </c>
      <c r="AN19" s="633">
        <f t="shared" si="2"/>
        <v>40.000003293813073</v>
      </c>
      <c r="AO19" s="1"/>
    </row>
    <row r="20" spans="1:41" ht="45" x14ac:dyDescent="0.25">
      <c r="A20" s="1157"/>
      <c r="B20" s="1114"/>
      <c r="C20" s="1114"/>
      <c r="D20" s="1114"/>
      <c r="E20" s="1164"/>
      <c r="F20" s="1114"/>
      <c r="G20" s="1156"/>
      <c r="H20" s="1157"/>
      <c r="I20" s="16">
        <f t="shared" si="3"/>
        <v>7</v>
      </c>
      <c r="J20" s="579" t="s">
        <v>99</v>
      </c>
      <c r="K20" s="579" t="s">
        <v>113</v>
      </c>
      <c r="L20" s="579" t="s">
        <v>84</v>
      </c>
      <c r="M20" s="631">
        <v>283285558</v>
      </c>
      <c r="N20" s="579" t="s">
        <v>202</v>
      </c>
      <c r="O20" s="17">
        <v>41544</v>
      </c>
      <c r="P20" s="17">
        <v>41634</v>
      </c>
      <c r="Q20" s="17">
        <v>41634</v>
      </c>
      <c r="R20" s="579" t="s">
        <v>221</v>
      </c>
      <c r="S20" s="631">
        <v>283336848</v>
      </c>
      <c r="T20" s="579" t="s">
        <v>688</v>
      </c>
      <c r="U20" s="632">
        <v>283285558</v>
      </c>
      <c r="V20" s="631">
        <v>113314223.2</v>
      </c>
      <c r="W20" s="631"/>
      <c r="X20" s="631"/>
      <c r="Y20" s="631"/>
      <c r="Z20" s="631"/>
      <c r="AA20" s="631"/>
      <c r="AB20" s="631"/>
      <c r="AC20" s="631"/>
      <c r="AD20" s="631"/>
      <c r="AE20" s="631"/>
      <c r="AF20" s="631"/>
      <c r="AG20" s="625">
        <f t="shared" si="0"/>
        <v>113314223.2</v>
      </c>
      <c r="AH20" s="16" t="s">
        <v>239</v>
      </c>
      <c r="AI20" s="579" t="s">
        <v>95</v>
      </c>
      <c r="AJ20" s="579" t="s">
        <v>252</v>
      </c>
      <c r="AK20" s="1114"/>
      <c r="AL20" s="1114"/>
      <c r="AM20" s="16">
        <v>80</v>
      </c>
      <c r="AN20" s="633">
        <f t="shared" si="2"/>
        <v>40</v>
      </c>
      <c r="AO20" s="1"/>
    </row>
    <row r="21" spans="1:41" ht="45" x14ac:dyDescent="0.25">
      <c r="A21" s="1157"/>
      <c r="B21" s="1114"/>
      <c r="C21" s="1114"/>
      <c r="D21" s="1114"/>
      <c r="E21" s="1164"/>
      <c r="F21" s="1114"/>
      <c r="G21" s="1156"/>
      <c r="H21" s="1157"/>
      <c r="I21" s="16">
        <f t="shared" si="3"/>
        <v>8</v>
      </c>
      <c r="J21" s="579" t="s">
        <v>100</v>
      </c>
      <c r="K21" s="579" t="s">
        <v>115</v>
      </c>
      <c r="L21" s="579" t="s">
        <v>124</v>
      </c>
      <c r="M21" s="631">
        <v>245588360</v>
      </c>
      <c r="N21" s="16" t="s">
        <v>63</v>
      </c>
      <c r="O21" s="17">
        <v>41544</v>
      </c>
      <c r="P21" s="17">
        <v>41634</v>
      </c>
      <c r="Q21" s="17">
        <v>41634</v>
      </c>
      <c r="R21" s="579" t="s">
        <v>222</v>
      </c>
      <c r="S21" s="631">
        <v>92824983</v>
      </c>
      <c r="T21" s="579" t="s">
        <v>689</v>
      </c>
      <c r="U21" s="632">
        <v>245588360</v>
      </c>
      <c r="V21" s="631">
        <v>98235344</v>
      </c>
      <c r="W21" s="631"/>
      <c r="X21" s="631"/>
      <c r="Y21" s="631"/>
      <c r="Z21" s="631"/>
      <c r="AA21" s="631"/>
      <c r="AB21" s="631"/>
      <c r="AC21" s="631"/>
      <c r="AD21" s="631"/>
      <c r="AE21" s="631"/>
      <c r="AF21" s="631"/>
      <c r="AG21" s="625">
        <f t="shared" si="0"/>
        <v>98235344</v>
      </c>
      <c r="AH21" s="579" t="s">
        <v>238</v>
      </c>
      <c r="AI21" s="579" t="s">
        <v>101</v>
      </c>
      <c r="AJ21" s="579" t="s">
        <v>253</v>
      </c>
      <c r="AK21" s="1114"/>
      <c r="AL21" s="1114"/>
      <c r="AM21" s="16">
        <v>100</v>
      </c>
      <c r="AN21" s="633">
        <f t="shared" si="2"/>
        <v>40</v>
      </c>
      <c r="AO21" s="1"/>
    </row>
    <row r="22" spans="1:41" ht="60" x14ac:dyDescent="0.25">
      <c r="A22" s="1157"/>
      <c r="B22" s="1114"/>
      <c r="C22" s="1114"/>
      <c r="D22" s="1114"/>
      <c r="E22" s="1164"/>
      <c r="F22" s="1114"/>
      <c r="G22" s="1156"/>
      <c r="H22" s="1157"/>
      <c r="I22" s="16">
        <f t="shared" si="3"/>
        <v>9</v>
      </c>
      <c r="J22" s="579">
        <v>875</v>
      </c>
      <c r="K22" s="630" t="s">
        <v>737</v>
      </c>
      <c r="L22" s="579" t="s">
        <v>129</v>
      </c>
      <c r="M22" s="631">
        <v>32259600</v>
      </c>
      <c r="N22" s="16" t="s">
        <v>63</v>
      </c>
      <c r="O22" s="17">
        <v>41544</v>
      </c>
      <c r="P22" s="17">
        <v>41634</v>
      </c>
      <c r="Q22" s="17">
        <v>41634</v>
      </c>
      <c r="R22" s="579" t="s">
        <v>223</v>
      </c>
      <c r="S22" s="26">
        <v>32259600</v>
      </c>
      <c r="T22" s="579" t="s">
        <v>751</v>
      </c>
      <c r="U22" s="632">
        <v>32259600</v>
      </c>
      <c r="V22" s="631">
        <v>12903840</v>
      </c>
      <c r="W22" s="631"/>
      <c r="X22" s="631"/>
      <c r="Y22" s="631"/>
      <c r="Z22" s="631"/>
      <c r="AA22" s="631"/>
      <c r="AB22" s="631"/>
      <c r="AC22" s="631"/>
      <c r="AD22" s="631"/>
      <c r="AE22" s="631"/>
      <c r="AF22" s="631"/>
      <c r="AG22" s="625">
        <f t="shared" si="0"/>
        <v>12903840</v>
      </c>
      <c r="AH22" s="579" t="s">
        <v>260</v>
      </c>
      <c r="AI22" s="579" t="s">
        <v>247</v>
      </c>
      <c r="AJ22" s="579" t="s">
        <v>253</v>
      </c>
      <c r="AK22" s="1114"/>
      <c r="AL22" s="1114"/>
      <c r="AM22" s="16">
        <v>100</v>
      </c>
      <c r="AN22" s="633">
        <f t="shared" si="2"/>
        <v>40</v>
      </c>
      <c r="AO22" s="1"/>
    </row>
    <row r="23" spans="1:41" s="12" customFormat="1" ht="90" x14ac:dyDescent="0.25">
      <c r="A23" s="1157"/>
      <c r="B23" s="1114"/>
      <c r="C23" s="1114"/>
      <c r="D23" s="1114"/>
      <c r="E23" s="1164"/>
      <c r="F23" s="1114"/>
      <c r="G23" s="1156"/>
      <c r="H23" s="1157"/>
      <c r="I23" s="16">
        <f t="shared" si="3"/>
        <v>10</v>
      </c>
      <c r="J23" s="579" t="s">
        <v>102</v>
      </c>
      <c r="K23" s="579" t="s">
        <v>116</v>
      </c>
      <c r="L23" s="579" t="s">
        <v>85</v>
      </c>
      <c r="M23" s="631">
        <v>570824000</v>
      </c>
      <c r="N23" s="579" t="s">
        <v>203</v>
      </c>
      <c r="O23" s="17">
        <v>41555</v>
      </c>
      <c r="P23" s="17">
        <v>41639</v>
      </c>
      <c r="Q23" s="17">
        <v>41703</v>
      </c>
      <c r="R23" s="579" t="s">
        <v>224</v>
      </c>
      <c r="S23" s="631">
        <v>583113358</v>
      </c>
      <c r="T23" s="579" t="s">
        <v>690</v>
      </c>
      <c r="U23" s="632">
        <v>570824000</v>
      </c>
      <c r="V23" s="631"/>
      <c r="W23" s="631">
        <v>347819724</v>
      </c>
      <c r="X23" s="631"/>
      <c r="Y23" s="631"/>
      <c r="Z23" s="631"/>
      <c r="AA23" s="631"/>
      <c r="AB23" s="631"/>
      <c r="AC23" s="631"/>
      <c r="AD23" s="631"/>
      <c r="AE23" s="631"/>
      <c r="AF23" s="631"/>
      <c r="AG23" s="625">
        <f t="shared" si="0"/>
        <v>347819724</v>
      </c>
      <c r="AH23" s="16" t="s">
        <v>265</v>
      </c>
      <c r="AI23" s="579" t="s">
        <v>117</v>
      </c>
      <c r="AJ23" s="579" t="s">
        <v>254</v>
      </c>
      <c r="AK23" s="1114"/>
      <c r="AL23" s="1114"/>
      <c r="AM23" s="16">
        <v>80</v>
      </c>
      <c r="AN23" s="633">
        <f t="shared" si="2"/>
        <v>60.932918728014236</v>
      </c>
      <c r="AO23" s="15"/>
    </row>
    <row r="24" spans="1:41" ht="75" x14ac:dyDescent="0.25">
      <c r="A24" s="1157"/>
      <c r="B24" s="1114"/>
      <c r="C24" s="1114"/>
      <c r="D24" s="1114"/>
      <c r="E24" s="1164"/>
      <c r="F24" s="1114"/>
      <c r="G24" s="1156"/>
      <c r="H24" s="1157"/>
      <c r="I24" s="16">
        <f t="shared" si="3"/>
        <v>11</v>
      </c>
      <c r="J24" s="579" t="s">
        <v>118</v>
      </c>
      <c r="K24" s="630" t="s">
        <v>125</v>
      </c>
      <c r="L24" s="579" t="s">
        <v>130</v>
      </c>
      <c r="M24" s="631">
        <v>32536125</v>
      </c>
      <c r="N24" s="579" t="s">
        <v>204</v>
      </c>
      <c r="O24" s="17">
        <v>41554</v>
      </c>
      <c r="P24" s="17">
        <v>41639</v>
      </c>
      <c r="Q24" s="17">
        <v>41683</v>
      </c>
      <c r="R24" s="579" t="s">
        <v>225</v>
      </c>
      <c r="S24" s="631">
        <v>40817935</v>
      </c>
      <c r="T24" s="579" t="s">
        <v>226</v>
      </c>
      <c r="U24" s="632">
        <v>32536125</v>
      </c>
      <c r="V24" s="631">
        <v>13014450</v>
      </c>
      <c r="W24" s="631">
        <v>12884305</v>
      </c>
      <c r="X24" s="631">
        <v>4685202</v>
      </c>
      <c r="Y24" s="631"/>
      <c r="Z24" s="631"/>
      <c r="AA24" s="631"/>
      <c r="AB24" s="631"/>
      <c r="AC24" s="631"/>
      <c r="AD24" s="631"/>
      <c r="AE24" s="631"/>
      <c r="AF24" s="631"/>
      <c r="AG24" s="625">
        <f t="shared" si="0"/>
        <v>30583957</v>
      </c>
      <c r="AH24" s="16" t="s">
        <v>243</v>
      </c>
      <c r="AI24" s="579" t="s">
        <v>241</v>
      </c>
      <c r="AJ24" s="579" t="s">
        <v>258</v>
      </c>
      <c r="AK24" s="1114"/>
      <c r="AL24" s="1114"/>
      <c r="AM24" s="16">
        <v>100</v>
      </c>
      <c r="AN24" s="633">
        <f t="shared" si="2"/>
        <v>93.999998463246627</v>
      </c>
      <c r="AO24" s="1"/>
    </row>
    <row r="25" spans="1:41" ht="75" x14ac:dyDescent="0.25">
      <c r="A25" s="1157"/>
      <c r="B25" s="1114"/>
      <c r="C25" s="1114"/>
      <c r="D25" s="1114"/>
      <c r="E25" s="1164"/>
      <c r="F25" s="1114"/>
      <c r="G25" s="1156"/>
      <c r="H25" s="1157"/>
      <c r="I25" s="16">
        <f t="shared" si="3"/>
        <v>12</v>
      </c>
      <c r="J25" s="579" t="s">
        <v>103</v>
      </c>
      <c r="K25" s="579" t="s">
        <v>119</v>
      </c>
      <c r="L25" s="579" t="s">
        <v>86</v>
      </c>
      <c r="M25" s="631">
        <v>131574000</v>
      </c>
      <c r="N25" s="579" t="s">
        <v>205</v>
      </c>
      <c r="O25" s="17">
        <v>41594</v>
      </c>
      <c r="P25" s="17">
        <v>41639</v>
      </c>
      <c r="Q25" s="17">
        <v>41718</v>
      </c>
      <c r="R25" s="579" t="s">
        <v>227</v>
      </c>
      <c r="S25" s="631">
        <v>132903990</v>
      </c>
      <c r="T25" s="579" t="s">
        <v>228</v>
      </c>
      <c r="U25" s="632">
        <v>131574000</v>
      </c>
      <c r="V25" s="631">
        <v>52629600</v>
      </c>
      <c r="W25" s="631"/>
      <c r="X25" s="631"/>
      <c r="Y25" s="631"/>
      <c r="Z25" s="631"/>
      <c r="AA25" s="631"/>
      <c r="AB25" s="631"/>
      <c r="AC25" s="631"/>
      <c r="AD25" s="631"/>
      <c r="AE25" s="631"/>
      <c r="AF25" s="631"/>
      <c r="AG25" s="625">
        <f t="shared" si="0"/>
        <v>52629600</v>
      </c>
      <c r="AH25" s="16" t="s">
        <v>243</v>
      </c>
      <c r="AI25" s="634" t="s">
        <v>105</v>
      </c>
      <c r="AJ25" s="579" t="s">
        <v>255</v>
      </c>
      <c r="AK25" s="1114"/>
      <c r="AL25" s="1114"/>
      <c r="AM25" s="16">
        <v>90</v>
      </c>
      <c r="AN25" s="633">
        <f t="shared" si="2"/>
        <v>40</v>
      </c>
      <c r="AO25" s="1"/>
    </row>
    <row r="26" spans="1:41" ht="60" x14ac:dyDescent="0.25">
      <c r="A26" s="1157"/>
      <c r="B26" s="1114"/>
      <c r="C26" s="1114"/>
      <c r="D26" s="1114"/>
      <c r="E26" s="1164"/>
      <c r="F26" s="1114"/>
      <c r="G26" s="1156"/>
      <c r="H26" s="1157"/>
      <c r="I26" s="16">
        <f t="shared" si="3"/>
        <v>13</v>
      </c>
      <c r="J26" s="579" t="s">
        <v>104</v>
      </c>
      <c r="K26" s="630" t="s">
        <v>125</v>
      </c>
      <c r="L26" s="579" t="s">
        <v>131</v>
      </c>
      <c r="M26" s="631">
        <v>25334400</v>
      </c>
      <c r="N26" s="579" t="s">
        <v>206</v>
      </c>
      <c r="O26" s="17">
        <v>41578</v>
      </c>
      <c r="P26" s="17">
        <v>41639</v>
      </c>
      <c r="Q26" s="17">
        <v>41684</v>
      </c>
      <c r="R26" s="579" t="s">
        <v>229</v>
      </c>
      <c r="S26" s="631">
        <v>29187756</v>
      </c>
      <c r="T26" s="579" t="s">
        <v>230</v>
      </c>
      <c r="U26" s="632">
        <v>25334400</v>
      </c>
      <c r="V26" s="631">
        <v>10133760</v>
      </c>
      <c r="W26" s="631"/>
      <c r="X26" s="631"/>
      <c r="Y26" s="631"/>
      <c r="Z26" s="631"/>
      <c r="AA26" s="631"/>
      <c r="AB26" s="631"/>
      <c r="AC26" s="631"/>
      <c r="AD26" s="631"/>
      <c r="AE26" s="631"/>
      <c r="AF26" s="631"/>
      <c r="AG26" s="625">
        <f t="shared" si="0"/>
        <v>10133760</v>
      </c>
      <c r="AH26" s="579" t="s">
        <v>245</v>
      </c>
      <c r="AI26" s="579" t="s">
        <v>736</v>
      </c>
      <c r="AJ26" s="579" t="s">
        <v>255</v>
      </c>
      <c r="AK26" s="1114"/>
      <c r="AL26" s="1114"/>
      <c r="AM26" s="16">
        <v>100</v>
      </c>
      <c r="AN26" s="633">
        <f t="shared" si="2"/>
        <v>40</v>
      </c>
      <c r="AO26" s="1"/>
    </row>
    <row r="27" spans="1:41" ht="105" x14ac:dyDescent="0.25">
      <c r="A27" s="1157"/>
      <c r="B27" s="1114"/>
      <c r="C27" s="1114"/>
      <c r="D27" s="1114"/>
      <c r="E27" s="1164"/>
      <c r="F27" s="1114"/>
      <c r="G27" s="1156"/>
      <c r="H27" s="1157"/>
      <c r="I27" s="16">
        <f t="shared" si="3"/>
        <v>14</v>
      </c>
      <c r="J27" s="579" t="s">
        <v>106</v>
      </c>
      <c r="K27" s="579" t="s">
        <v>120</v>
      </c>
      <c r="L27" s="579" t="s">
        <v>87</v>
      </c>
      <c r="M27" s="631">
        <v>201680975</v>
      </c>
      <c r="N27" s="579" t="s">
        <v>207</v>
      </c>
      <c r="O27" s="17">
        <v>41554</v>
      </c>
      <c r="P27" s="17">
        <v>41639</v>
      </c>
      <c r="Q27" s="17">
        <v>41724</v>
      </c>
      <c r="R27" s="579" t="s">
        <v>231</v>
      </c>
      <c r="S27" s="631">
        <v>201680975</v>
      </c>
      <c r="T27" s="579" t="s">
        <v>691</v>
      </c>
      <c r="U27" s="632">
        <v>201680975</v>
      </c>
      <c r="V27" s="635"/>
      <c r="W27" s="631">
        <v>201680915</v>
      </c>
      <c r="X27" s="631"/>
      <c r="Y27" s="631"/>
      <c r="Z27" s="631"/>
      <c r="AA27" s="631"/>
      <c r="AB27" s="631"/>
      <c r="AC27" s="631"/>
      <c r="AD27" s="631"/>
      <c r="AE27" s="631"/>
      <c r="AF27" s="631"/>
      <c r="AG27" s="625">
        <f t="shared" si="0"/>
        <v>201680915</v>
      </c>
      <c r="AH27" s="16" t="s">
        <v>248</v>
      </c>
      <c r="AI27" s="579" t="s">
        <v>107</v>
      </c>
      <c r="AJ27" s="16" t="s">
        <v>735</v>
      </c>
      <c r="AK27" s="1114"/>
      <c r="AL27" s="1114"/>
      <c r="AM27" s="16">
        <v>90</v>
      </c>
      <c r="AN27" s="633">
        <f t="shared" ref="AN27:AN88" si="4">(AG27*100)/M27</f>
        <v>99.999970250044655</v>
      </c>
      <c r="AO27" s="1"/>
    </row>
    <row r="28" spans="1:41" ht="118.5" customHeight="1" x14ac:dyDescent="0.25">
      <c r="A28" s="1157"/>
      <c r="B28" s="1114"/>
      <c r="C28" s="1114"/>
      <c r="D28" s="1114"/>
      <c r="E28" s="1164"/>
      <c r="F28" s="1114"/>
      <c r="G28" s="1156"/>
      <c r="H28" s="1157"/>
      <c r="I28" s="16">
        <f t="shared" si="3"/>
        <v>15</v>
      </c>
      <c r="J28" s="579" t="s">
        <v>196</v>
      </c>
      <c r="K28" s="579" t="s">
        <v>720</v>
      </c>
      <c r="L28" s="579" t="s">
        <v>197</v>
      </c>
      <c r="M28" s="631">
        <v>285976180</v>
      </c>
      <c r="N28" s="16" t="s">
        <v>63</v>
      </c>
      <c r="O28" s="17">
        <v>41551</v>
      </c>
      <c r="P28" s="16" t="s">
        <v>210</v>
      </c>
      <c r="Q28" s="16" t="s">
        <v>264</v>
      </c>
      <c r="R28" s="579" t="s">
        <v>232</v>
      </c>
      <c r="S28" s="631">
        <v>285976180</v>
      </c>
      <c r="T28" s="579" t="s">
        <v>233</v>
      </c>
      <c r="U28" s="631">
        <v>285976180</v>
      </c>
      <c r="V28" s="631">
        <v>285976180</v>
      </c>
      <c r="W28" s="631"/>
      <c r="X28" s="631"/>
      <c r="Y28" s="631"/>
      <c r="Z28" s="631"/>
      <c r="AA28" s="631"/>
      <c r="AB28" s="631"/>
      <c r="AC28" s="631"/>
      <c r="AD28" s="631"/>
      <c r="AE28" s="631"/>
      <c r="AF28" s="631"/>
      <c r="AG28" s="625">
        <f t="shared" si="0"/>
        <v>285976180</v>
      </c>
      <c r="AH28" s="16" t="s">
        <v>239</v>
      </c>
      <c r="AI28" s="579" t="s">
        <v>240</v>
      </c>
      <c r="AJ28" s="16" t="s">
        <v>735</v>
      </c>
      <c r="AK28" s="1114"/>
      <c r="AL28" s="1114"/>
      <c r="AM28" s="16"/>
      <c r="AN28" s="633">
        <f>(AG28*100)/M28</f>
        <v>100</v>
      </c>
      <c r="AO28" s="1"/>
    </row>
    <row r="29" spans="1:41" ht="75" x14ac:dyDescent="0.25">
      <c r="A29" s="1157"/>
      <c r="B29" s="1114"/>
      <c r="C29" s="1114"/>
      <c r="D29" s="1114"/>
      <c r="E29" s="1164"/>
      <c r="F29" s="1114"/>
      <c r="G29" s="1156"/>
      <c r="H29" s="1157"/>
      <c r="I29" s="16">
        <f t="shared" si="3"/>
        <v>16</v>
      </c>
      <c r="J29" s="579" t="s">
        <v>110</v>
      </c>
      <c r="K29" s="636" t="s">
        <v>121</v>
      </c>
      <c r="L29" s="579" t="s">
        <v>108</v>
      </c>
      <c r="M29" s="631">
        <v>32500010</v>
      </c>
      <c r="N29" s="579" t="s">
        <v>208</v>
      </c>
      <c r="O29" s="17">
        <v>41590</v>
      </c>
      <c r="P29" s="17">
        <v>41639</v>
      </c>
      <c r="Q29" s="17">
        <v>41719</v>
      </c>
      <c r="R29" s="579" t="s">
        <v>234</v>
      </c>
      <c r="S29" s="631">
        <v>32500000</v>
      </c>
      <c r="T29" s="579" t="s">
        <v>752</v>
      </c>
      <c r="U29" s="632">
        <v>32500000</v>
      </c>
      <c r="V29" s="631">
        <v>13000000</v>
      </c>
      <c r="W29" s="631"/>
      <c r="X29" s="631"/>
      <c r="Y29" s="631"/>
      <c r="Z29" s="631"/>
      <c r="AA29" s="631"/>
      <c r="AB29" s="631"/>
      <c r="AC29" s="631"/>
      <c r="AD29" s="631"/>
      <c r="AE29" s="631"/>
      <c r="AF29" s="631"/>
      <c r="AG29" s="625">
        <f t="shared" si="0"/>
        <v>13000000</v>
      </c>
      <c r="AH29" s="16" t="s">
        <v>243</v>
      </c>
      <c r="AI29" s="579" t="s">
        <v>109</v>
      </c>
      <c r="AJ29" s="579" t="s">
        <v>256</v>
      </c>
      <c r="AK29" s="1114"/>
      <c r="AL29" s="1114"/>
      <c r="AM29" s="16">
        <v>90</v>
      </c>
      <c r="AN29" s="633">
        <f t="shared" si="4"/>
        <v>39.999987692311478</v>
      </c>
      <c r="AO29" s="1"/>
    </row>
    <row r="30" spans="1:41" ht="75" x14ac:dyDescent="0.25">
      <c r="A30" s="1157"/>
      <c r="B30" s="1114"/>
      <c r="C30" s="1114"/>
      <c r="D30" s="1114"/>
      <c r="E30" s="1164"/>
      <c r="F30" s="1114"/>
      <c r="G30" s="1156"/>
      <c r="H30" s="1157"/>
      <c r="I30" s="16">
        <f t="shared" si="3"/>
        <v>17</v>
      </c>
      <c r="J30" s="579" t="s">
        <v>111</v>
      </c>
      <c r="K30" s="579" t="s">
        <v>122</v>
      </c>
      <c r="L30" s="579" t="s">
        <v>88</v>
      </c>
      <c r="M30" s="26" t="s">
        <v>198</v>
      </c>
      <c r="N30" s="16" t="s">
        <v>786</v>
      </c>
      <c r="O30" s="17">
        <v>41544</v>
      </c>
      <c r="P30" s="17">
        <v>41639</v>
      </c>
      <c r="Q30" s="17">
        <v>41713</v>
      </c>
      <c r="R30" s="579" t="s">
        <v>750</v>
      </c>
      <c r="S30" s="27">
        <v>714273047</v>
      </c>
      <c r="T30" s="579" t="s">
        <v>749</v>
      </c>
      <c r="U30" s="27">
        <v>702562862</v>
      </c>
      <c r="V30" s="631">
        <v>201118924</v>
      </c>
      <c r="W30" s="631">
        <v>501443874.76999998</v>
      </c>
      <c r="X30" s="631"/>
      <c r="Y30" s="631"/>
      <c r="Z30" s="631"/>
      <c r="AA30" s="631"/>
      <c r="AB30" s="631"/>
      <c r="AC30" s="631"/>
      <c r="AD30" s="631"/>
      <c r="AE30" s="631"/>
      <c r="AF30" s="631"/>
      <c r="AG30" s="625">
        <f t="shared" si="0"/>
        <v>702562798.76999998</v>
      </c>
      <c r="AH30" s="16" t="s">
        <v>237</v>
      </c>
      <c r="AI30" s="579" t="s">
        <v>123</v>
      </c>
      <c r="AJ30" s="579" t="s">
        <v>257</v>
      </c>
      <c r="AK30" s="1114"/>
      <c r="AL30" s="1114"/>
      <c r="AM30" s="16">
        <v>100</v>
      </c>
      <c r="AN30" s="633">
        <v>100</v>
      </c>
      <c r="AO30" s="1"/>
    </row>
    <row r="31" spans="1:41" ht="60" x14ac:dyDescent="0.25">
      <c r="A31" s="1157"/>
      <c r="B31" s="1115"/>
      <c r="C31" s="1115"/>
      <c r="D31" s="1115"/>
      <c r="E31" s="1165"/>
      <c r="F31" s="1115"/>
      <c r="G31" s="1156"/>
      <c r="H31" s="1157"/>
      <c r="I31" s="16">
        <f t="shared" si="3"/>
        <v>18</v>
      </c>
      <c r="J31" s="637" t="s">
        <v>112</v>
      </c>
      <c r="K31" s="630" t="s">
        <v>738</v>
      </c>
      <c r="L31" s="637" t="s">
        <v>132</v>
      </c>
      <c r="M31" s="638" t="s">
        <v>199</v>
      </c>
      <c r="N31" s="637" t="s">
        <v>785</v>
      </c>
      <c r="O31" s="639">
        <v>41544</v>
      </c>
      <c r="P31" s="639">
        <v>41639</v>
      </c>
      <c r="Q31" s="639">
        <v>41639</v>
      </c>
      <c r="R31" s="637" t="s">
        <v>235</v>
      </c>
      <c r="S31" s="638">
        <v>48952992</v>
      </c>
      <c r="T31" s="637" t="s">
        <v>236</v>
      </c>
      <c r="U31" s="640">
        <v>45397811</v>
      </c>
      <c r="V31" s="641">
        <v>13153240</v>
      </c>
      <c r="W31" s="641">
        <v>18852137</v>
      </c>
      <c r="X31" s="641"/>
      <c r="Y31" s="641"/>
      <c r="Z31" s="641"/>
      <c r="AA31" s="641"/>
      <c r="AB31" s="641"/>
      <c r="AC31" s="641"/>
      <c r="AD31" s="641"/>
      <c r="AE31" s="641"/>
      <c r="AF31" s="641"/>
      <c r="AG31" s="642">
        <f t="shared" si="0"/>
        <v>32005377</v>
      </c>
      <c r="AH31" s="637" t="s">
        <v>245</v>
      </c>
      <c r="AI31" s="637" t="s">
        <v>244</v>
      </c>
      <c r="AJ31" s="637" t="s">
        <v>257</v>
      </c>
      <c r="AK31" s="1115"/>
      <c r="AL31" s="1115"/>
      <c r="AM31" s="643">
        <v>100</v>
      </c>
      <c r="AN31" s="633">
        <v>100</v>
      </c>
      <c r="AO31" s="1"/>
    </row>
    <row r="32" spans="1:41" x14ac:dyDescent="0.25">
      <c r="A32" s="1162"/>
      <c r="B32" s="624"/>
      <c r="C32" s="624"/>
      <c r="D32" s="624"/>
      <c r="E32" s="644"/>
      <c r="F32" s="624"/>
      <c r="G32" s="631"/>
      <c r="H32" s="16"/>
      <c r="I32" s="579"/>
      <c r="J32" s="645"/>
      <c r="K32" s="645"/>
      <c r="L32" s="579"/>
      <c r="M32" s="26">
        <f>SUM(M14:M29)+508836686+193726146+32883100+12514711</f>
        <v>3984202638</v>
      </c>
      <c r="N32" s="579"/>
      <c r="O32" s="17"/>
      <c r="P32" s="17"/>
      <c r="Q32" s="646"/>
      <c r="R32" s="579"/>
      <c r="S32" s="26">
        <f>SUM(S14:S31)</f>
        <v>3906702013</v>
      </c>
      <c r="T32" s="579"/>
      <c r="U32" s="26">
        <f>SUM(U14:U31)</f>
        <v>3984202660</v>
      </c>
      <c r="V32" s="631"/>
      <c r="W32" s="631"/>
      <c r="X32" s="631"/>
      <c r="Y32" s="631"/>
      <c r="Z32" s="631"/>
      <c r="AA32" s="631"/>
      <c r="AB32" s="631"/>
      <c r="AC32" s="631"/>
      <c r="AD32" s="631"/>
      <c r="AE32" s="631"/>
      <c r="AF32" s="631"/>
      <c r="AG32" s="631">
        <f>SUM(AG14:AG31)</f>
        <v>2771352197.2200003</v>
      </c>
      <c r="AH32" s="579"/>
      <c r="AI32" s="579"/>
      <c r="AJ32" s="579"/>
      <c r="AK32" s="647"/>
      <c r="AL32" s="16"/>
      <c r="AM32" s="16">
        <f>SUM(AM14:AM31)/18</f>
        <v>87.777777777777771</v>
      </c>
      <c r="AN32" s="16">
        <f>SUM(AN14:AN31)/18</f>
        <v>62.196271132558017</v>
      </c>
      <c r="AO32" s="1"/>
    </row>
    <row r="33" spans="1:41" s="12" customFormat="1" ht="66.75" customHeight="1" x14ac:dyDescent="0.25">
      <c r="A33" s="649">
        <v>3</v>
      </c>
      <c r="B33" s="649" t="s">
        <v>390</v>
      </c>
      <c r="C33" s="649" t="s">
        <v>391</v>
      </c>
      <c r="D33" s="649">
        <v>2013</v>
      </c>
      <c r="E33" s="183" t="s">
        <v>392</v>
      </c>
      <c r="F33" s="183" t="s">
        <v>136</v>
      </c>
      <c r="G33" s="650">
        <v>284592000</v>
      </c>
      <c r="H33" s="651" t="s">
        <v>137</v>
      </c>
      <c r="I33" s="649">
        <v>1</v>
      </c>
      <c r="J33" s="651" t="s">
        <v>139</v>
      </c>
      <c r="K33" s="651" t="s">
        <v>138</v>
      </c>
      <c r="L33" s="651" t="s">
        <v>140</v>
      </c>
      <c r="M33" s="650">
        <v>265963236</v>
      </c>
      <c r="N33" s="652" t="s">
        <v>63</v>
      </c>
      <c r="O33" s="653">
        <v>41617</v>
      </c>
      <c r="P33" s="653">
        <v>41717</v>
      </c>
      <c r="Q33" s="653">
        <v>41717</v>
      </c>
      <c r="R33" s="651" t="s">
        <v>399</v>
      </c>
      <c r="S33" s="650">
        <v>53194727</v>
      </c>
      <c r="T33" s="651" t="s">
        <v>692</v>
      </c>
      <c r="U33" s="654">
        <v>53192647</v>
      </c>
      <c r="V33" s="655">
        <v>53192647</v>
      </c>
      <c r="W33" s="655"/>
      <c r="X33" s="650"/>
      <c r="Y33" s="650"/>
      <c r="Z33" s="650"/>
      <c r="AA33" s="650"/>
      <c r="AB33" s="650"/>
      <c r="AC33" s="650"/>
      <c r="AD33" s="650"/>
      <c r="AE33" s="650"/>
      <c r="AF33" s="650"/>
      <c r="AG33" s="650">
        <f t="shared" si="0"/>
        <v>53192647</v>
      </c>
      <c r="AH33" s="652" t="s">
        <v>248</v>
      </c>
      <c r="AI33" s="651" t="s">
        <v>171</v>
      </c>
      <c r="AJ33" s="651" t="s">
        <v>172</v>
      </c>
      <c r="AK33" s="651" t="s">
        <v>140</v>
      </c>
      <c r="AL33" s="651" t="s">
        <v>140</v>
      </c>
      <c r="AM33" s="652">
        <v>90</v>
      </c>
      <c r="AN33" s="656">
        <f t="shared" si="4"/>
        <v>19.999999924801635</v>
      </c>
      <c r="AO33" s="15"/>
    </row>
    <row r="34" spans="1:41" ht="114.75" customHeight="1" x14ac:dyDescent="0.25">
      <c r="A34" s="190">
        <v>4</v>
      </c>
      <c r="B34" s="585" t="s">
        <v>386</v>
      </c>
      <c r="C34" s="585" t="s">
        <v>387</v>
      </c>
      <c r="D34" s="190">
        <v>2013</v>
      </c>
      <c r="E34" s="585" t="s">
        <v>389</v>
      </c>
      <c r="F34" s="583" t="s">
        <v>141</v>
      </c>
      <c r="G34" s="657">
        <v>145611000</v>
      </c>
      <c r="H34" s="585" t="s">
        <v>142</v>
      </c>
      <c r="I34" s="585">
        <v>1</v>
      </c>
      <c r="J34" s="585" t="s">
        <v>143</v>
      </c>
      <c r="K34" s="585" t="s">
        <v>144</v>
      </c>
      <c r="L34" s="585" t="s">
        <v>145</v>
      </c>
      <c r="M34" s="657">
        <v>135833216</v>
      </c>
      <c r="N34" s="190" t="s">
        <v>176</v>
      </c>
      <c r="O34" s="658">
        <v>41607</v>
      </c>
      <c r="P34" s="659">
        <v>41621</v>
      </c>
      <c r="Q34" s="660">
        <v>41677</v>
      </c>
      <c r="R34" s="582" t="s">
        <v>400</v>
      </c>
      <c r="S34" s="661">
        <v>145610848</v>
      </c>
      <c r="T34" s="582" t="s">
        <v>401</v>
      </c>
      <c r="U34" s="662">
        <v>135833216</v>
      </c>
      <c r="V34" s="584">
        <v>54333286.399999999</v>
      </c>
      <c r="W34" s="584"/>
      <c r="X34" s="584"/>
      <c r="Y34" s="584"/>
      <c r="Z34" s="584"/>
      <c r="AA34" s="584"/>
      <c r="AB34" s="584"/>
      <c r="AC34" s="584"/>
      <c r="AD34" s="584"/>
      <c r="AE34" s="584"/>
      <c r="AF34" s="584"/>
      <c r="AG34" s="663">
        <f t="shared" si="0"/>
        <v>54333286.399999999</v>
      </c>
      <c r="AH34" s="585" t="s">
        <v>173</v>
      </c>
      <c r="AI34" s="585" t="s">
        <v>174</v>
      </c>
      <c r="AJ34" s="585" t="s">
        <v>175</v>
      </c>
      <c r="AK34" s="585" t="s">
        <v>145</v>
      </c>
      <c r="AL34" s="585" t="s">
        <v>722</v>
      </c>
      <c r="AM34" s="190">
        <v>100</v>
      </c>
      <c r="AN34" s="664">
        <f t="shared" si="4"/>
        <v>40</v>
      </c>
      <c r="AO34" s="1"/>
    </row>
    <row r="35" spans="1:41" ht="75" x14ac:dyDescent="0.25">
      <c r="A35" s="1124">
        <v>5</v>
      </c>
      <c r="B35" s="1139" t="s">
        <v>386</v>
      </c>
      <c r="C35" s="1139" t="s">
        <v>796</v>
      </c>
      <c r="D35" s="1124">
        <v>2013</v>
      </c>
      <c r="E35" s="1139" t="s">
        <v>393</v>
      </c>
      <c r="F35" s="1139" t="s">
        <v>146</v>
      </c>
      <c r="G35" s="1137">
        <v>424731000</v>
      </c>
      <c r="H35" s="1139" t="s">
        <v>147</v>
      </c>
      <c r="I35" s="665">
        <v>1</v>
      </c>
      <c r="J35" s="362" t="s">
        <v>148</v>
      </c>
      <c r="K35" s="362" t="s">
        <v>149</v>
      </c>
      <c r="L35" s="362" t="s">
        <v>150</v>
      </c>
      <c r="M35" s="666">
        <v>386021662</v>
      </c>
      <c r="N35" s="665" t="s">
        <v>193</v>
      </c>
      <c r="O35" s="367">
        <v>41625</v>
      </c>
      <c r="P35" s="367">
        <v>41837</v>
      </c>
      <c r="Q35" s="667"/>
      <c r="R35" s="362" t="s">
        <v>402</v>
      </c>
      <c r="S35" s="666">
        <v>153070489</v>
      </c>
      <c r="T35" s="362" t="s">
        <v>753</v>
      </c>
      <c r="U35" s="668">
        <v>153070489</v>
      </c>
      <c r="V35" s="366">
        <v>152093279</v>
      </c>
      <c r="W35" s="366"/>
      <c r="X35" s="366"/>
      <c r="Y35" s="366"/>
      <c r="Z35" s="366"/>
      <c r="AA35" s="366"/>
      <c r="AB35" s="366"/>
      <c r="AC35" s="366"/>
      <c r="AD35" s="366"/>
      <c r="AE35" s="366"/>
      <c r="AF35" s="366"/>
      <c r="AG35" s="669">
        <f t="shared" si="0"/>
        <v>152093279</v>
      </c>
      <c r="AH35" s="665" t="s">
        <v>248</v>
      </c>
      <c r="AI35" s="362" t="s">
        <v>177</v>
      </c>
      <c r="AJ35" s="670" t="s">
        <v>178</v>
      </c>
      <c r="AK35" s="1139" t="s">
        <v>680</v>
      </c>
      <c r="AL35" s="1124" t="s">
        <v>676</v>
      </c>
      <c r="AM35" s="665">
        <v>30</v>
      </c>
      <c r="AN35" s="671">
        <f>(AG35*100)/M35</f>
        <v>39.400192779854926</v>
      </c>
      <c r="AO35" s="4"/>
    </row>
    <row r="36" spans="1:41" ht="75" x14ac:dyDescent="0.25">
      <c r="A36" s="1125"/>
      <c r="B36" s="1140"/>
      <c r="C36" s="1140"/>
      <c r="D36" s="1126"/>
      <c r="E36" s="1140"/>
      <c r="F36" s="1140"/>
      <c r="G36" s="1138"/>
      <c r="H36" s="1140"/>
      <c r="I36" s="665">
        <v>2</v>
      </c>
      <c r="J36" s="362" t="s">
        <v>153</v>
      </c>
      <c r="K36" s="362" t="s">
        <v>151</v>
      </c>
      <c r="L36" s="362" t="s">
        <v>152</v>
      </c>
      <c r="M36" s="666">
        <v>35877060</v>
      </c>
      <c r="N36" s="672" t="s">
        <v>193</v>
      </c>
      <c r="O36" s="367">
        <v>41635</v>
      </c>
      <c r="P36" s="673">
        <v>74723</v>
      </c>
      <c r="Q36" s="674"/>
      <c r="R36" s="675" t="s">
        <v>754</v>
      </c>
      <c r="S36" s="676">
        <v>38350824</v>
      </c>
      <c r="T36" s="675" t="s">
        <v>693</v>
      </c>
      <c r="U36" s="677">
        <v>35877060</v>
      </c>
      <c r="V36" s="678">
        <v>14350824</v>
      </c>
      <c r="W36" s="678"/>
      <c r="X36" s="678"/>
      <c r="Y36" s="678"/>
      <c r="Z36" s="678"/>
      <c r="AA36" s="678"/>
      <c r="AB36" s="678"/>
      <c r="AC36" s="678"/>
      <c r="AD36" s="678"/>
      <c r="AE36" s="678"/>
      <c r="AF36" s="678"/>
      <c r="AG36" s="669">
        <f t="shared" si="0"/>
        <v>14350824</v>
      </c>
      <c r="AH36" s="672" t="s">
        <v>248</v>
      </c>
      <c r="AI36" s="679" t="s">
        <v>292</v>
      </c>
      <c r="AJ36" s="362" t="s">
        <v>179</v>
      </c>
      <c r="AK36" s="1140"/>
      <c r="AL36" s="1126"/>
      <c r="AM36" s="665">
        <v>30</v>
      </c>
      <c r="AN36" s="671">
        <f t="shared" si="4"/>
        <v>40</v>
      </c>
      <c r="AO36" s="4"/>
    </row>
    <row r="37" spans="1:41" x14ac:dyDescent="0.25">
      <c r="A37" s="1126"/>
      <c r="B37" s="675"/>
      <c r="C37" s="675"/>
      <c r="D37" s="680"/>
      <c r="E37" s="675"/>
      <c r="F37" s="675"/>
      <c r="G37" s="681"/>
      <c r="H37" s="682"/>
      <c r="I37" s="683"/>
      <c r="J37" s="683"/>
      <c r="K37" s="362"/>
      <c r="L37" s="362"/>
      <c r="M37" s="666">
        <f>M36+M35</f>
        <v>421898722</v>
      </c>
      <c r="N37" s="672"/>
      <c r="O37" s="367"/>
      <c r="P37" s="673"/>
      <c r="Q37" s="674"/>
      <c r="R37" s="362"/>
      <c r="S37" s="666">
        <f>SUM(S35:S36)</f>
        <v>191421313</v>
      </c>
      <c r="T37" s="362"/>
      <c r="U37" s="684">
        <f>SUM(U35:U36)</f>
        <v>188947549</v>
      </c>
      <c r="V37" s="678"/>
      <c r="W37" s="678"/>
      <c r="X37" s="678"/>
      <c r="Y37" s="678"/>
      <c r="Z37" s="678"/>
      <c r="AA37" s="678"/>
      <c r="AB37" s="678"/>
      <c r="AC37" s="678"/>
      <c r="AD37" s="678"/>
      <c r="AE37" s="678"/>
      <c r="AF37" s="678"/>
      <c r="AG37" s="669">
        <f>SUM(AG35:AG36)</f>
        <v>166444103</v>
      </c>
      <c r="AH37" s="672"/>
      <c r="AI37" s="679"/>
      <c r="AJ37" s="362"/>
      <c r="AK37" s="680"/>
      <c r="AL37" s="680"/>
      <c r="AM37" s="665">
        <f>(AM35+AM36)/2</f>
        <v>30</v>
      </c>
      <c r="AN37" s="665">
        <f>(AN35+AN36)/2</f>
        <v>39.700096389927467</v>
      </c>
      <c r="AO37" s="4"/>
    </row>
    <row r="38" spans="1:41" ht="126" customHeight="1" x14ac:dyDescent="0.25">
      <c r="A38" s="1127">
        <v>6</v>
      </c>
      <c r="B38" s="1144" t="s">
        <v>386</v>
      </c>
      <c r="C38" s="1144" t="s">
        <v>394</v>
      </c>
      <c r="D38" s="1144">
        <v>2013</v>
      </c>
      <c r="E38" s="1144" t="s">
        <v>395</v>
      </c>
      <c r="F38" s="1144" t="s">
        <v>154</v>
      </c>
      <c r="G38" s="1133">
        <v>1934866000</v>
      </c>
      <c r="H38" s="1135" t="s">
        <v>159</v>
      </c>
      <c r="I38" s="707">
        <v>1</v>
      </c>
      <c r="J38" s="707" t="s">
        <v>155</v>
      </c>
      <c r="K38" s="105" t="s">
        <v>156</v>
      </c>
      <c r="L38" s="105" t="s">
        <v>160</v>
      </c>
      <c r="M38" s="708">
        <v>998368554</v>
      </c>
      <c r="N38" s="298" t="s">
        <v>194</v>
      </c>
      <c r="O38" s="300">
        <v>41694</v>
      </c>
      <c r="P38" s="300">
        <v>41844</v>
      </c>
      <c r="Q38" s="298"/>
      <c r="R38" s="709" t="s">
        <v>403</v>
      </c>
      <c r="S38" s="708" t="s">
        <v>776</v>
      </c>
      <c r="T38" s="105" t="s">
        <v>404</v>
      </c>
      <c r="U38" s="710">
        <v>400363145</v>
      </c>
      <c r="V38" s="373">
        <v>400363145</v>
      </c>
      <c r="W38" s="373"/>
      <c r="X38" s="373"/>
      <c r="Y38" s="373"/>
      <c r="Z38" s="373"/>
      <c r="AA38" s="373"/>
      <c r="AB38" s="373"/>
      <c r="AC38" s="373"/>
      <c r="AD38" s="373"/>
      <c r="AE38" s="373"/>
      <c r="AF38" s="373"/>
      <c r="AG38" s="711">
        <f t="shared" si="0"/>
        <v>400363145</v>
      </c>
      <c r="AH38" s="298" t="s">
        <v>248</v>
      </c>
      <c r="AI38" s="105" t="s">
        <v>180</v>
      </c>
      <c r="AJ38" s="105" t="s">
        <v>183</v>
      </c>
      <c r="AK38" s="1144" t="s">
        <v>677</v>
      </c>
      <c r="AL38" s="1127" t="s">
        <v>678</v>
      </c>
      <c r="AM38" s="298">
        <v>10</v>
      </c>
      <c r="AN38" s="301">
        <f>(AG38*100)/M38</f>
        <v>40.101738320576153</v>
      </c>
      <c r="AO38" s="4"/>
    </row>
    <row r="39" spans="1:41" ht="131.25" customHeight="1" x14ac:dyDescent="0.25">
      <c r="A39" s="1128"/>
      <c r="B39" s="1145"/>
      <c r="C39" s="1145"/>
      <c r="D39" s="1145"/>
      <c r="E39" s="1145"/>
      <c r="F39" s="1145"/>
      <c r="G39" s="1134"/>
      <c r="H39" s="1136"/>
      <c r="I39" s="105">
        <v>2</v>
      </c>
      <c r="J39" s="105" t="s">
        <v>157</v>
      </c>
      <c r="K39" s="105" t="s">
        <v>158</v>
      </c>
      <c r="L39" s="105" t="s">
        <v>161</v>
      </c>
      <c r="M39" s="708">
        <v>991914551</v>
      </c>
      <c r="N39" s="298" t="s">
        <v>194</v>
      </c>
      <c r="O39" s="300">
        <v>41694</v>
      </c>
      <c r="P39" s="300">
        <v>41844</v>
      </c>
      <c r="Q39" s="298"/>
      <c r="R39" s="105" t="s">
        <v>181</v>
      </c>
      <c r="S39" s="708">
        <v>402363145.92000002</v>
      </c>
      <c r="T39" s="105" t="s">
        <v>405</v>
      </c>
      <c r="U39" s="710">
        <v>402363145.92000002</v>
      </c>
      <c r="V39" s="373">
        <v>402363145.92000002</v>
      </c>
      <c r="W39" s="373"/>
      <c r="X39" s="373"/>
      <c r="Y39" s="373"/>
      <c r="Z39" s="373"/>
      <c r="AA39" s="373"/>
      <c r="AB39" s="373"/>
      <c r="AC39" s="373"/>
      <c r="AD39" s="373"/>
      <c r="AE39" s="373"/>
      <c r="AF39" s="373"/>
      <c r="AG39" s="711">
        <f t="shared" si="0"/>
        <v>402363145.92000002</v>
      </c>
      <c r="AH39" s="298" t="s">
        <v>248</v>
      </c>
      <c r="AI39" s="105" t="s">
        <v>180</v>
      </c>
      <c r="AJ39" s="105" t="s">
        <v>183</v>
      </c>
      <c r="AK39" s="1145"/>
      <c r="AL39" s="1129"/>
      <c r="AM39" s="298">
        <v>10</v>
      </c>
      <c r="AN39" s="301">
        <f t="shared" si="4"/>
        <v>40.564295131506746</v>
      </c>
      <c r="AO39" s="4"/>
    </row>
    <row r="40" spans="1:41" ht="15" customHeight="1" x14ac:dyDescent="0.25">
      <c r="A40" s="1129"/>
      <c r="B40" s="588"/>
      <c r="C40" s="588"/>
      <c r="D40" s="588"/>
      <c r="E40" s="588"/>
      <c r="F40" s="588"/>
      <c r="G40" s="711"/>
      <c r="H40" s="712"/>
      <c r="I40" s="105"/>
      <c r="J40" s="105"/>
      <c r="K40" s="105"/>
      <c r="L40" s="105"/>
      <c r="M40" s="708">
        <f>M38+M39</f>
        <v>1990283105</v>
      </c>
      <c r="N40" s="298"/>
      <c r="O40" s="300"/>
      <c r="P40" s="300"/>
      <c r="Q40" s="298"/>
      <c r="R40" s="105"/>
      <c r="S40" s="708">
        <f>SUM(S38:S39)</f>
        <v>402363145.92000002</v>
      </c>
      <c r="T40" s="708">
        <f>SUM(T38:T39)</f>
        <v>0</v>
      </c>
      <c r="U40" s="708">
        <f>SUM(U38:U39)</f>
        <v>802726290.92000008</v>
      </c>
      <c r="V40" s="373"/>
      <c r="W40" s="373"/>
      <c r="X40" s="373"/>
      <c r="Y40" s="373"/>
      <c r="Z40" s="373"/>
      <c r="AA40" s="373"/>
      <c r="AB40" s="373"/>
      <c r="AC40" s="373"/>
      <c r="AD40" s="373"/>
      <c r="AE40" s="373"/>
      <c r="AF40" s="373"/>
      <c r="AG40" s="711">
        <f>SUM(AG38:AG39)</f>
        <v>802726290.92000008</v>
      </c>
      <c r="AH40" s="298"/>
      <c r="AI40" s="105"/>
      <c r="AJ40" s="105"/>
      <c r="AK40" s="589"/>
      <c r="AL40" s="589"/>
      <c r="AM40" s="298">
        <v>10</v>
      </c>
      <c r="AN40" s="301">
        <f>SUM(AN38:AN39)/2</f>
        <v>40.33301672604145</v>
      </c>
      <c r="AO40" s="4"/>
    </row>
    <row r="41" spans="1:41" ht="83.25" customHeight="1" x14ac:dyDescent="0.25">
      <c r="A41" s="590">
        <v>7</v>
      </c>
      <c r="B41" s="591" t="s">
        <v>390</v>
      </c>
      <c r="C41" s="591" t="s">
        <v>396</v>
      </c>
      <c r="D41" s="590">
        <v>2013</v>
      </c>
      <c r="E41" s="591" t="s">
        <v>397</v>
      </c>
      <c r="F41" s="591" t="s">
        <v>165</v>
      </c>
      <c r="G41" s="713">
        <v>316875000</v>
      </c>
      <c r="H41" s="591" t="s">
        <v>167</v>
      </c>
      <c r="I41" s="591">
        <v>1</v>
      </c>
      <c r="J41" s="591" t="s">
        <v>163</v>
      </c>
      <c r="K41" s="591" t="s">
        <v>162</v>
      </c>
      <c r="L41" s="591" t="s">
        <v>164</v>
      </c>
      <c r="M41" s="43">
        <v>295550758.41000003</v>
      </c>
      <c r="N41" s="590" t="s">
        <v>195</v>
      </c>
      <c r="O41" s="33">
        <v>41558</v>
      </c>
      <c r="P41" s="33">
        <v>41681</v>
      </c>
      <c r="Q41" s="714">
        <v>41709</v>
      </c>
      <c r="R41" s="591" t="s">
        <v>406</v>
      </c>
      <c r="S41" s="43">
        <v>295550758.41000003</v>
      </c>
      <c r="T41" s="591" t="s">
        <v>694</v>
      </c>
      <c r="U41" s="715">
        <v>295550758.41000003</v>
      </c>
      <c r="V41" s="43">
        <v>147775379</v>
      </c>
      <c r="W41" s="43"/>
      <c r="X41" s="43"/>
      <c r="Y41" s="43"/>
      <c r="Z41" s="43"/>
      <c r="AA41" s="43"/>
      <c r="AB41" s="43"/>
      <c r="AC41" s="43"/>
      <c r="AD41" s="43"/>
      <c r="AE41" s="43"/>
      <c r="AF41" s="43"/>
      <c r="AG41" s="716">
        <f t="shared" si="0"/>
        <v>147775379</v>
      </c>
      <c r="AH41" s="590" t="s">
        <v>173</v>
      </c>
      <c r="AI41" s="591" t="s">
        <v>171</v>
      </c>
      <c r="AJ41" s="591" t="s">
        <v>182</v>
      </c>
      <c r="AK41" s="591" t="s">
        <v>164</v>
      </c>
      <c r="AL41" s="591" t="s">
        <v>164</v>
      </c>
      <c r="AM41" s="590">
        <v>100</v>
      </c>
      <c r="AN41" s="38">
        <f t="shared" si="4"/>
        <v>49.999999930637969</v>
      </c>
      <c r="AO41" s="4"/>
    </row>
    <row r="42" spans="1:41" ht="82.5" customHeight="1" x14ac:dyDescent="0.25">
      <c r="A42" s="1130">
        <v>8</v>
      </c>
      <c r="B42" s="1141" t="s">
        <v>386</v>
      </c>
      <c r="C42" s="1141" t="s">
        <v>387</v>
      </c>
      <c r="D42" s="1130">
        <v>2013</v>
      </c>
      <c r="E42" s="1141" t="s">
        <v>398</v>
      </c>
      <c r="F42" s="1141" t="s">
        <v>166</v>
      </c>
      <c r="G42" s="1142">
        <v>128774000</v>
      </c>
      <c r="H42" s="1141" t="s">
        <v>168</v>
      </c>
      <c r="I42" s="740">
        <v>1</v>
      </c>
      <c r="J42" s="740" t="s">
        <v>169</v>
      </c>
      <c r="K42" s="740" t="s">
        <v>186</v>
      </c>
      <c r="L42" s="740" t="s">
        <v>184</v>
      </c>
      <c r="M42" s="741">
        <v>92591340</v>
      </c>
      <c r="N42" s="742" t="s">
        <v>63</v>
      </c>
      <c r="O42" s="743">
        <v>41535</v>
      </c>
      <c r="P42" s="743">
        <v>41636</v>
      </c>
      <c r="Q42" s="743">
        <v>40996</v>
      </c>
      <c r="R42" s="740" t="s">
        <v>755</v>
      </c>
      <c r="S42" s="741">
        <v>92591340</v>
      </c>
      <c r="T42" s="740" t="s">
        <v>756</v>
      </c>
      <c r="U42" s="744">
        <v>92591340</v>
      </c>
      <c r="V42" s="745">
        <v>37036536</v>
      </c>
      <c r="W42" s="745"/>
      <c r="X42" s="745"/>
      <c r="Y42" s="745"/>
      <c r="Z42" s="745"/>
      <c r="AA42" s="745"/>
      <c r="AB42" s="745"/>
      <c r="AC42" s="745"/>
      <c r="AD42" s="745"/>
      <c r="AE42" s="745"/>
      <c r="AF42" s="745"/>
      <c r="AG42" s="746">
        <f t="shared" si="0"/>
        <v>37036536</v>
      </c>
      <c r="AH42" s="742" t="s">
        <v>773</v>
      </c>
      <c r="AI42" s="747" t="s">
        <v>188</v>
      </c>
      <c r="AJ42" s="740" t="s">
        <v>192</v>
      </c>
      <c r="AK42" s="1141" t="s">
        <v>679</v>
      </c>
      <c r="AL42" s="1141" t="s">
        <v>723</v>
      </c>
      <c r="AM42" s="742">
        <v>80</v>
      </c>
      <c r="AN42" s="748">
        <f t="shared" si="4"/>
        <v>40</v>
      </c>
      <c r="AO42" s="4"/>
    </row>
    <row r="43" spans="1:41" ht="199.5" customHeight="1" x14ac:dyDescent="0.25">
      <c r="A43" s="1131"/>
      <c r="B43" s="1146"/>
      <c r="C43" s="1146"/>
      <c r="D43" s="1132"/>
      <c r="E43" s="1146"/>
      <c r="F43" s="1146"/>
      <c r="G43" s="1143"/>
      <c r="H43" s="1132"/>
      <c r="I43" s="740">
        <v>2</v>
      </c>
      <c r="J43" s="740" t="s">
        <v>170</v>
      </c>
      <c r="K43" s="740" t="s">
        <v>187</v>
      </c>
      <c r="L43" s="740" t="s">
        <v>185</v>
      </c>
      <c r="M43" s="741">
        <v>16449960</v>
      </c>
      <c r="N43" s="742" t="s">
        <v>26</v>
      </c>
      <c r="O43" s="743">
        <v>41536</v>
      </c>
      <c r="P43" s="743">
        <v>41596</v>
      </c>
      <c r="Q43" s="743">
        <v>40996</v>
      </c>
      <c r="R43" s="740" t="s">
        <v>189</v>
      </c>
      <c r="S43" s="741">
        <v>16499960</v>
      </c>
      <c r="T43" s="747" t="s">
        <v>190</v>
      </c>
      <c r="U43" s="749">
        <v>16499960</v>
      </c>
      <c r="V43" s="745">
        <v>8224980</v>
      </c>
      <c r="W43" s="745"/>
      <c r="X43" s="745"/>
      <c r="Y43" s="745"/>
      <c r="Z43" s="745"/>
      <c r="AA43" s="745"/>
      <c r="AB43" s="745"/>
      <c r="AC43" s="745"/>
      <c r="AD43" s="745"/>
      <c r="AE43" s="745"/>
      <c r="AF43" s="745"/>
      <c r="AG43" s="746">
        <f t="shared" si="0"/>
        <v>8224980</v>
      </c>
      <c r="AH43" s="742" t="s">
        <v>773</v>
      </c>
      <c r="AI43" s="747" t="s">
        <v>188</v>
      </c>
      <c r="AJ43" s="740" t="s">
        <v>191</v>
      </c>
      <c r="AK43" s="1146"/>
      <c r="AL43" s="1146"/>
      <c r="AM43" s="742">
        <v>80</v>
      </c>
      <c r="AN43" s="748">
        <f>(AG43*100)/M43</f>
        <v>50</v>
      </c>
      <c r="AO43" s="4"/>
    </row>
    <row r="44" spans="1:41" x14ac:dyDescent="0.25">
      <c r="A44" s="1132"/>
      <c r="B44" s="750"/>
      <c r="C44" s="750"/>
      <c r="D44" s="751"/>
      <c r="E44" s="750"/>
      <c r="F44" s="750"/>
      <c r="G44" s="746"/>
      <c r="H44" s="751"/>
      <c r="I44" s="740"/>
      <c r="J44" s="740"/>
      <c r="K44" s="740"/>
      <c r="L44" s="740"/>
      <c r="M44" s="741">
        <f>M42+M43</f>
        <v>109041300</v>
      </c>
      <c r="N44" s="742"/>
      <c r="O44" s="743"/>
      <c r="P44" s="743"/>
      <c r="Q44" s="742"/>
      <c r="R44" s="740"/>
      <c r="S44" s="741">
        <f>SUM(S42:S43)</f>
        <v>109091300</v>
      </c>
      <c r="T44" s="741"/>
      <c r="U44" s="741">
        <f>SUM(U42:U43)</f>
        <v>109091300</v>
      </c>
      <c r="V44" s="745"/>
      <c r="W44" s="745"/>
      <c r="X44" s="745"/>
      <c r="Y44" s="745"/>
      <c r="Z44" s="745"/>
      <c r="AA44" s="745"/>
      <c r="AB44" s="745"/>
      <c r="AC44" s="745"/>
      <c r="AD44" s="745"/>
      <c r="AE44" s="745"/>
      <c r="AF44" s="745"/>
      <c r="AG44" s="746">
        <f>SUM(AG42:AG43)</f>
        <v>45261516</v>
      </c>
      <c r="AH44" s="742"/>
      <c r="AI44" s="747"/>
      <c r="AJ44" s="740"/>
      <c r="AK44" s="742"/>
      <c r="AL44" s="742"/>
      <c r="AM44" s="742">
        <f>(AM42+AM43)/2</f>
        <v>80</v>
      </c>
      <c r="AN44" s="742">
        <f>(AN42+AN43)/2</f>
        <v>45</v>
      </c>
      <c r="AO44" s="4"/>
    </row>
    <row r="45" spans="1:41" ht="123" customHeight="1" x14ac:dyDescent="0.25">
      <c r="A45" s="719">
        <v>9</v>
      </c>
      <c r="B45" s="576" t="s">
        <v>386</v>
      </c>
      <c r="C45" s="576" t="s">
        <v>387</v>
      </c>
      <c r="D45" s="577">
        <v>2013</v>
      </c>
      <c r="E45" s="577" t="s">
        <v>639</v>
      </c>
      <c r="F45" s="576" t="s">
        <v>274</v>
      </c>
      <c r="G45" s="753">
        <v>324897000</v>
      </c>
      <c r="H45" s="576" t="s">
        <v>277</v>
      </c>
      <c r="I45" s="717"/>
      <c r="J45" s="717"/>
      <c r="K45" s="717"/>
      <c r="L45" s="717"/>
      <c r="M45" s="718"/>
      <c r="N45" s="719"/>
      <c r="O45" s="720"/>
      <c r="P45" s="720"/>
      <c r="Q45" s="719"/>
      <c r="R45" s="717"/>
      <c r="S45" s="718"/>
      <c r="T45" s="723"/>
      <c r="U45" s="725"/>
      <c r="V45" s="721"/>
      <c r="W45" s="721"/>
      <c r="X45" s="721"/>
      <c r="Y45" s="721"/>
      <c r="Z45" s="721"/>
      <c r="AA45" s="721"/>
      <c r="AB45" s="721"/>
      <c r="AC45" s="721"/>
      <c r="AD45" s="721"/>
      <c r="AE45" s="721"/>
      <c r="AF45" s="721"/>
      <c r="AG45" s="722">
        <f t="shared" si="0"/>
        <v>0</v>
      </c>
      <c r="AH45" s="719"/>
      <c r="AI45" s="723"/>
      <c r="AJ45" s="717" t="s">
        <v>635</v>
      </c>
      <c r="AK45" s="719"/>
      <c r="AL45" s="719"/>
      <c r="AM45" s="719">
        <v>0</v>
      </c>
      <c r="AN45" s="724">
        <v>0</v>
      </c>
      <c r="AO45" s="4"/>
    </row>
    <row r="46" spans="1:41" ht="114" customHeight="1" x14ac:dyDescent="0.25">
      <c r="A46" s="223">
        <v>10</v>
      </c>
      <c r="B46" s="733" t="s">
        <v>385</v>
      </c>
      <c r="C46" s="733" t="s">
        <v>394</v>
      </c>
      <c r="D46" s="734">
        <v>2013</v>
      </c>
      <c r="E46" s="733" t="s">
        <v>395</v>
      </c>
      <c r="F46" s="733" t="s">
        <v>275</v>
      </c>
      <c r="G46" s="754">
        <v>135480000</v>
      </c>
      <c r="H46" s="733" t="s">
        <v>1696</v>
      </c>
      <c r="I46" s="221"/>
      <c r="J46" s="221"/>
      <c r="K46" s="221"/>
      <c r="L46" s="221"/>
      <c r="M46" s="726"/>
      <c r="N46" s="223"/>
      <c r="O46" s="727"/>
      <c r="P46" s="727"/>
      <c r="Q46" s="223"/>
      <c r="R46" s="221"/>
      <c r="S46" s="726"/>
      <c r="T46" s="730"/>
      <c r="U46" s="732"/>
      <c r="V46" s="728"/>
      <c r="W46" s="728"/>
      <c r="X46" s="728"/>
      <c r="Y46" s="728"/>
      <c r="Z46" s="728"/>
      <c r="AA46" s="728"/>
      <c r="AB46" s="728"/>
      <c r="AC46" s="728"/>
      <c r="AD46" s="728"/>
      <c r="AE46" s="728"/>
      <c r="AF46" s="728"/>
      <c r="AG46" s="729">
        <f t="shared" si="0"/>
        <v>0</v>
      </c>
      <c r="AH46" s="223"/>
      <c r="AI46" s="730"/>
      <c r="AJ46" s="221" t="s">
        <v>635</v>
      </c>
      <c r="AK46" s="223"/>
      <c r="AL46" s="223"/>
      <c r="AM46" s="223">
        <v>0</v>
      </c>
      <c r="AN46" s="731">
        <v>0</v>
      </c>
      <c r="AO46" s="4"/>
    </row>
    <row r="47" spans="1:41" ht="124.5" customHeight="1" x14ac:dyDescent="0.25">
      <c r="A47" s="292">
        <v>11</v>
      </c>
      <c r="B47" s="586" t="s">
        <v>386</v>
      </c>
      <c r="C47" s="586" t="s">
        <v>387</v>
      </c>
      <c r="D47" s="587">
        <v>2013</v>
      </c>
      <c r="E47" s="586" t="s">
        <v>640</v>
      </c>
      <c r="F47" s="586" t="s">
        <v>734</v>
      </c>
      <c r="G47" s="755">
        <v>2298110000</v>
      </c>
      <c r="H47" s="586" t="s">
        <v>278</v>
      </c>
      <c r="I47" s="293"/>
      <c r="J47" s="293"/>
      <c r="K47" s="293"/>
      <c r="L47" s="293"/>
      <c r="M47" s="756"/>
      <c r="N47" s="292"/>
      <c r="O47" s="295"/>
      <c r="P47" s="295"/>
      <c r="Q47" s="292"/>
      <c r="R47" s="293"/>
      <c r="S47" s="756"/>
      <c r="T47" s="757"/>
      <c r="U47" s="758"/>
      <c r="V47" s="759"/>
      <c r="W47" s="759"/>
      <c r="X47" s="759"/>
      <c r="Y47" s="759"/>
      <c r="Z47" s="759"/>
      <c r="AA47" s="759"/>
      <c r="AB47" s="759"/>
      <c r="AC47" s="759"/>
      <c r="AD47" s="759"/>
      <c r="AE47" s="759"/>
      <c r="AF47" s="759"/>
      <c r="AG47" s="755">
        <f t="shared" si="0"/>
        <v>0</v>
      </c>
      <c r="AH47" s="292"/>
      <c r="AI47" s="757"/>
      <c r="AJ47" s="293" t="s">
        <v>635</v>
      </c>
      <c r="AK47" s="292"/>
      <c r="AL47" s="292"/>
      <c r="AM47" s="292">
        <v>0</v>
      </c>
      <c r="AN47" s="296">
        <v>0</v>
      </c>
      <c r="AO47" s="4"/>
    </row>
    <row r="48" spans="1:41" ht="126.75" customHeight="1" x14ac:dyDescent="0.25">
      <c r="A48" s="686">
        <v>12</v>
      </c>
      <c r="B48" s="570" t="s">
        <v>385</v>
      </c>
      <c r="C48" s="570" t="s">
        <v>387</v>
      </c>
      <c r="D48" s="692">
        <v>2013</v>
      </c>
      <c r="E48" s="570" t="s">
        <v>640</v>
      </c>
      <c r="F48" s="570" t="s">
        <v>443</v>
      </c>
      <c r="G48" s="690">
        <v>682083000</v>
      </c>
      <c r="H48" s="570" t="s">
        <v>444</v>
      </c>
      <c r="I48" s="37"/>
      <c r="J48" s="37"/>
      <c r="K48" s="37"/>
      <c r="L48" s="37"/>
      <c r="M48" s="689"/>
      <c r="N48" s="686"/>
      <c r="O48" s="687"/>
      <c r="P48" s="687"/>
      <c r="Q48" s="686"/>
      <c r="R48" s="37"/>
      <c r="S48" s="689"/>
      <c r="T48" s="760"/>
      <c r="U48" s="688"/>
      <c r="V48" s="685"/>
      <c r="W48" s="685"/>
      <c r="X48" s="685"/>
      <c r="Y48" s="685"/>
      <c r="Z48" s="685"/>
      <c r="AA48" s="685"/>
      <c r="AB48" s="685"/>
      <c r="AC48" s="685"/>
      <c r="AD48" s="685"/>
      <c r="AE48" s="685"/>
      <c r="AF48" s="685"/>
      <c r="AG48" s="690">
        <f t="shared" si="0"/>
        <v>0</v>
      </c>
      <c r="AH48" s="686"/>
      <c r="AI48" s="760"/>
      <c r="AJ48" s="37" t="s">
        <v>445</v>
      </c>
      <c r="AK48" s="686"/>
      <c r="AL48" s="686"/>
      <c r="AM48" s="686">
        <v>0</v>
      </c>
      <c r="AN48" s="691">
        <v>0</v>
      </c>
      <c r="AO48" s="4"/>
    </row>
    <row r="49" spans="1:41" ht="117" customHeight="1" x14ac:dyDescent="0.25">
      <c r="A49" s="694">
        <v>13</v>
      </c>
      <c r="B49" s="496" t="s">
        <v>385</v>
      </c>
      <c r="C49" s="496" t="s">
        <v>384</v>
      </c>
      <c r="D49" s="694">
        <v>2013</v>
      </c>
      <c r="E49" s="496" t="s">
        <v>383</v>
      </c>
      <c r="F49" s="496" t="s">
        <v>276</v>
      </c>
      <c r="G49" s="693">
        <v>784963000</v>
      </c>
      <c r="H49" s="496" t="s">
        <v>279</v>
      </c>
      <c r="I49" s="694"/>
      <c r="J49" s="694"/>
      <c r="K49" s="694"/>
      <c r="L49" s="694"/>
      <c r="M49" s="693"/>
      <c r="N49" s="694"/>
      <c r="O49" s="694"/>
      <c r="P49" s="694"/>
      <c r="Q49" s="694"/>
      <c r="R49" s="694"/>
      <c r="S49" s="693"/>
      <c r="T49" s="694"/>
      <c r="U49" s="695"/>
      <c r="V49" s="693"/>
      <c r="W49" s="693"/>
      <c r="X49" s="693"/>
      <c r="Y49" s="693"/>
      <c r="Z49" s="693"/>
      <c r="AA49" s="693"/>
      <c r="AB49" s="693"/>
      <c r="AC49" s="693"/>
      <c r="AD49" s="693"/>
      <c r="AE49" s="693"/>
      <c r="AF49" s="693"/>
      <c r="AG49" s="696">
        <f t="shared" si="0"/>
        <v>0</v>
      </c>
      <c r="AH49" s="694"/>
      <c r="AI49" s="694"/>
      <c r="AJ49" s="496" t="s">
        <v>635</v>
      </c>
      <c r="AK49" s="694"/>
      <c r="AL49" s="694"/>
      <c r="AM49" s="694">
        <v>0</v>
      </c>
      <c r="AN49" s="697">
        <v>0</v>
      </c>
      <c r="AO49" s="4"/>
    </row>
    <row r="50" spans="1:41" s="12" customFormat="1" ht="75" x14ac:dyDescent="0.25">
      <c r="A50" s="1102">
        <v>14</v>
      </c>
      <c r="B50" s="1118" t="s">
        <v>385</v>
      </c>
      <c r="C50" s="1118" t="s">
        <v>384</v>
      </c>
      <c r="D50" s="1118">
        <v>2013</v>
      </c>
      <c r="E50" s="1118" t="s">
        <v>383</v>
      </c>
      <c r="F50" s="1118" t="s">
        <v>381</v>
      </c>
      <c r="G50" s="1147">
        <v>621000000</v>
      </c>
      <c r="H50" s="1118" t="s">
        <v>382</v>
      </c>
      <c r="I50" s="698">
        <v>1</v>
      </c>
      <c r="J50" s="698" t="s">
        <v>770</v>
      </c>
      <c r="K50" s="698" t="s">
        <v>288</v>
      </c>
      <c r="L50" s="698" t="s">
        <v>289</v>
      </c>
      <c r="M50" s="699">
        <v>9900000</v>
      </c>
      <c r="N50" s="700" t="s">
        <v>290</v>
      </c>
      <c r="O50" s="701">
        <v>41309</v>
      </c>
      <c r="P50" s="701">
        <v>41397</v>
      </c>
      <c r="Q50" s="701">
        <v>41397</v>
      </c>
      <c r="R50" s="698" t="s">
        <v>291</v>
      </c>
      <c r="S50" s="699">
        <v>9900000</v>
      </c>
      <c r="T50" s="698" t="s">
        <v>415</v>
      </c>
      <c r="U50" s="699">
        <v>9900000</v>
      </c>
      <c r="V50" s="699"/>
      <c r="W50" s="699">
        <v>3300000</v>
      </c>
      <c r="X50" s="699">
        <v>3300000</v>
      </c>
      <c r="Y50" s="699">
        <v>3300000</v>
      </c>
      <c r="Z50" s="699"/>
      <c r="AA50" s="699"/>
      <c r="AB50" s="699"/>
      <c r="AC50" s="699"/>
      <c r="AD50" s="699"/>
      <c r="AE50" s="699"/>
      <c r="AF50" s="699"/>
      <c r="AG50" s="703">
        <f>SUM(V50:AF50)</f>
        <v>9900000</v>
      </c>
      <c r="AH50" s="700" t="s">
        <v>237</v>
      </c>
      <c r="AI50" s="761" t="s">
        <v>647</v>
      </c>
      <c r="AJ50" s="698" t="s">
        <v>293</v>
      </c>
      <c r="AK50" s="1118" t="s">
        <v>381</v>
      </c>
      <c r="AL50" s="1118" t="s">
        <v>729</v>
      </c>
      <c r="AM50" s="700">
        <v>100</v>
      </c>
      <c r="AN50" s="704">
        <f t="shared" si="4"/>
        <v>100</v>
      </c>
      <c r="AO50" s="13"/>
    </row>
    <row r="51" spans="1:41" s="12" customFormat="1" ht="90" x14ac:dyDescent="0.25">
      <c r="A51" s="1103"/>
      <c r="B51" s="1119"/>
      <c r="C51" s="1119"/>
      <c r="D51" s="1119"/>
      <c r="E51" s="1119"/>
      <c r="F51" s="1119"/>
      <c r="G51" s="1148"/>
      <c r="H51" s="1103"/>
      <c r="I51" s="698">
        <f>I50+1</f>
        <v>2</v>
      </c>
      <c r="J51" s="698" t="s">
        <v>294</v>
      </c>
      <c r="K51" s="698" t="s">
        <v>295</v>
      </c>
      <c r="L51" s="698" t="s">
        <v>296</v>
      </c>
      <c r="M51" s="761">
        <v>35000000</v>
      </c>
      <c r="N51" s="698" t="s">
        <v>297</v>
      </c>
      <c r="O51" s="702">
        <v>41310</v>
      </c>
      <c r="P51" s="702">
        <v>41639</v>
      </c>
      <c r="Q51" s="702">
        <v>41639</v>
      </c>
      <c r="R51" s="698" t="s">
        <v>298</v>
      </c>
      <c r="S51" s="762">
        <v>35000000</v>
      </c>
      <c r="T51" s="763" t="s">
        <v>416</v>
      </c>
      <c r="U51" s="762">
        <v>35000000</v>
      </c>
      <c r="V51" s="761"/>
      <c r="W51" s="761">
        <v>3500000</v>
      </c>
      <c r="X51" s="761">
        <v>3500000</v>
      </c>
      <c r="Y51" s="761">
        <v>3500000</v>
      </c>
      <c r="Z51" s="761">
        <v>3500000</v>
      </c>
      <c r="AA51" s="761">
        <v>3500000</v>
      </c>
      <c r="AB51" s="761">
        <v>3500000</v>
      </c>
      <c r="AC51" s="761">
        <v>3500000</v>
      </c>
      <c r="AD51" s="761">
        <v>3500000</v>
      </c>
      <c r="AE51" s="761">
        <v>3500000</v>
      </c>
      <c r="AF51" s="761">
        <v>3500000</v>
      </c>
      <c r="AG51" s="703">
        <f t="shared" ref="AG51:AG113" si="5">SUM(V51:AF51)</f>
        <v>35000000</v>
      </c>
      <c r="AH51" s="700" t="s">
        <v>237</v>
      </c>
      <c r="AI51" s="698" t="s">
        <v>648</v>
      </c>
      <c r="AJ51" s="698" t="s">
        <v>299</v>
      </c>
      <c r="AK51" s="1119"/>
      <c r="AL51" s="1119"/>
      <c r="AM51" s="698">
        <v>100</v>
      </c>
      <c r="AN51" s="704">
        <f t="shared" si="4"/>
        <v>100</v>
      </c>
    </row>
    <row r="52" spans="1:41" ht="78" customHeight="1" x14ac:dyDescent="0.25">
      <c r="A52" s="1103"/>
      <c r="B52" s="1119"/>
      <c r="C52" s="1119"/>
      <c r="D52" s="1119"/>
      <c r="E52" s="1119"/>
      <c r="F52" s="1119"/>
      <c r="G52" s="1148"/>
      <c r="H52" s="1103"/>
      <c r="I52" s="698">
        <f t="shared" ref="I52:I74" si="6">I51+1</f>
        <v>3</v>
      </c>
      <c r="J52" s="698" t="s">
        <v>300</v>
      </c>
      <c r="K52" s="698" t="s">
        <v>301</v>
      </c>
      <c r="L52" s="698" t="s">
        <v>302</v>
      </c>
      <c r="M52" s="761">
        <f>28360000+6293500</f>
        <v>34653500</v>
      </c>
      <c r="N52" s="698" t="s">
        <v>303</v>
      </c>
      <c r="O52" s="702">
        <v>41347</v>
      </c>
      <c r="P52" s="702">
        <v>41591</v>
      </c>
      <c r="Q52" s="702">
        <v>41591</v>
      </c>
      <c r="R52" s="698" t="s">
        <v>771</v>
      </c>
      <c r="S52" s="761">
        <v>34653500</v>
      </c>
      <c r="T52" s="698" t="s">
        <v>772</v>
      </c>
      <c r="U52" s="761">
        <v>34653500</v>
      </c>
      <c r="V52" s="761"/>
      <c r="W52" s="761">
        <f>3300000+356435</f>
        <v>3656435</v>
      </c>
      <c r="X52" s="761">
        <f>3300000+51750</f>
        <v>3351750</v>
      </c>
      <c r="Y52" s="761">
        <f>3300000+103500</f>
        <v>3403500</v>
      </c>
      <c r="Z52" s="761">
        <f>3300000+207000</f>
        <v>3507000</v>
      </c>
      <c r="AA52" s="761">
        <f>3300000+160500</f>
        <v>3460500</v>
      </c>
      <c r="AB52" s="761">
        <f>3300000+53500</f>
        <v>3353500</v>
      </c>
      <c r="AC52" s="761">
        <f>3300000+94500</f>
        <v>3394500</v>
      </c>
      <c r="AD52" s="761">
        <f>3300000+699000</f>
        <v>3999000</v>
      </c>
      <c r="AE52" s="761">
        <f>3300000+856000</f>
        <v>4156000</v>
      </c>
      <c r="AF52" s="761">
        <f>1870000</f>
        <v>1870000</v>
      </c>
      <c r="AG52" s="703">
        <f t="shared" si="5"/>
        <v>34152185</v>
      </c>
      <c r="AH52" s="700" t="s">
        <v>237</v>
      </c>
      <c r="AI52" s="698" t="s">
        <v>649</v>
      </c>
      <c r="AJ52" s="698" t="s">
        <v>724</v>
      </c>
      <c r="AK52" s="1119"/>
      <c r="AL52" s="1119"/>
      <c r="AM52" s="698">
        <v>100</v>
      </c>
      <c r="AN52" s="704">
        <f t="shared" si="4"/>
        <v>98.553349589507548</v>
      </c>
    </row>
    <row r="53" spans="1:41" ht="75" x14ac:dyDescent="0.25">
      <c r="A53" s="1103"/>
      <c r="B53" s="1119"/>
      <c r="C53" s="1119"/>
      <c r="D53" s="1119"/>
      <c r="E53" s="1119"/>
      <c r="F53" s="1119"/>
      <c r="G53" s="1148"/>
      <c r="H53" s="1103"/>
      <c r="I53" s="698">
        <f t="shared" si="6"/>
        <v>4</v>
      </c>
      <c r="J53" s="698" t="s">
        <v>746</v>
      </c>
      <c r="K53" s="698" t="s">
        <v>305</v>
      </c>
      <c r="L53" s="698" t="s">
        <v>306</v>
      </c>
      <c r="M53" s="761">
        <f>22848000+ 3355185</f>
        <v>26203185</v>
      </c>
      <c r="N53" s="698" t="s">
        <v>297</v>
      </c>
      <c r="O53" s="702">
        <v>41348</v>
      </c>
      <c r="P53" s="702">
        <v>41592</v>
      </c>
      <c r="Q53" s="702">
        <v>41599</v>
      </c>
      <c r="R53" s="698" t="s">
        <v>764</v>
      </c>
      <c r="S53" s="761">
        <v>26203185</v>
      </c>
      <c r="T53" s="698" t="s">
        <v>765</v>
      </c>
      <c r="U53" s="764">
        <v>26203185</v>
      </c>
      <c r="V53" s="761"/>
      <c r="W53" s="761">
        <v>2800000</v>
      </c>
      <c r="X53" s="761">
        <f>2800000+51750</f>
        <v>2851750</v>
      </c>
      <c r="Y53" s="761">
        <f>2800000+97685</f>
        <v>2897685</v>
      </c>
      <c r="Z53" s="761">
        <f>2800000+51750</f>
        <v>2851750</v>
      </c>
      <c r="AA53" s="761">
        <v>2800000</v>
      </c>
      <c r="AB53" s="761">
        <v>2800000</v>
      </c>
      <c r="AC53" s="761">
        <v>2800000</v>
      </c>
      <c r="AD53" s="761">
        <f>2960500+86315</f>
        <v>3046815</v>
      </c>
      <c r="AE53" s="761">
        <f>3174000</f>
        <v>3174000</v>
      </c>
      <c r="AF53" s="761"/>
      <c r="AG53" s="703">
        <f t="shared" si="5"/>
        <v>26022000</v>
      </c>
      <c r="AH53" s="698" t="s">
        <v>237</v>
      </c>
      <c r="AI53" s="698" t="s">
        <v>650</v>
      </c>
      <c r="AJ53" s="698" t="s">
        <v>724</v>
      </c>
      <c r="AK53" s="1119"/>
      <c r="AL53" s="1119"/>
      <c r="AM53" s="698">
        <v>100</v>
      </c>
      <c r="AN53" s="704">
        <f t="shared" si="4"/>
        <v>99.308538255941031</v>
      </c>
    </row>
    <row r="54" spans="1:41" ht="90" x14ac:dyDescent="0.25">
      <c r="A54" s="1103"/>
      <c r="B54" s="1119"/>
      <c r="C54" s="1119"/>
      <c r="D54" s="1119"/>
      <c r="E54" s="1119"/>
      <c r="F54" s="1119"/>
      <c r="G54" s="1148"/>
      <c r="H54" s="1103"/>
      <c r="I54" s="698">
        <f t="shared" si="6"/>
        <v>5</v>
      </c>
      <c r="J54" s="698" t="s">
        <v>769</v>
      </c>
      <c r="K54" s="698" t="s">
        <v>307</v>
      </c>
      <c r="L54" s="698" t="s">
        <v>308</v>
      </c>
      <c r="M54" s="761">
        <v>4500000</v>
      </c>
      <c r="N54" s="698" t="s">
        <v>290</v>
      </c>
      <c r="O54" s="702">
        <v>41353</v>
      </c>
      <c r="P54" s="702">
        <v>41444</v>
      </c>
      <c r="Q54" s="702">
        <v>41444</v>
      </c>
      <c r="R54" s="698" t="s">
        <v>309</v>
      </c>
      <c r="S54" s="761">
        <v>4500000</v>
      </c>
      <c r="T54" s="698" t="s">
        <v>695</v>
      </c>
      <c r="U54" s="765">
        <v>4500000</v>
      </c>
      <c r="V54" s="761"/>
      <c r="W54" s="761">
        <v>1500000</v>
      </c>
      <c r="X54" s="761">
        <v>1500000</v>
      </c>
      <c r="Y54" s="761">
        <v>1500000</v>
      </c>
      <c r="Z54" s="761"/>
      <c r="AA54" s="761"/>
      <c r="AB54" s="761"/>
      <c r="AC54" s="761"/>
      <c r="AD54" s="761"/>
      <c r="AE54" s="761"/>
      <c r="AF54" s="761"/>
      <c r="AG54" s="703">
        <f t="shared" si="5"/>
        <v>4500000</v>
      </c>
      <c r="AH54" s="698" t="s">
        <v>237</v>
      </c>
      <c r="AI54" s="698" t="s">
        <v>651</v>
      </c>
      <c r="AJ54" s="698" t="s">
        <v>310</v>
      </c>
      <c r="AK54" s="1119"/>
      <c r="AL54" s="1119"/>
      <c r="AM54" s="698">
        <v>100</v>
      </c>
      <c r="AN54" s="704">
        <f t="shared" si="4"/>
        <v>100</v>
      </c>
    </row>
    <row r="55" spans="1:41" ht="90" x14ac:dyDescent="0.25">
      <c r="A55" s="1103"/>
      <c r="B55" s="1119"/>
      <c r="C55" s="1119"/>
      <c r="D55" s="1119"/>
      <c r="E55" s="1119"/>
      <c r="F55" s="1119"/>
      <c r="G55" s="1148"/>
      <c r="H55" s="1103"/>
      <c r="I55" s="698">
        <f t="shared" si="6"/>
        <v>6</v>
      </c>
      <c r="J55" s="698" t="s">
        <v>311</v>
      </c>
      <c r="K55" s="698" t="s">
        <v>312</v>
      </c>
      <c r="L55" s="698" t="s">
        <v>313</v>
      </c>
      <c r="M55" s="761">
        <f>24896000+3935000</f>
        <v>28831000</v>
      </c>
      <c r="N55" s="698" t="s">
        <v>303</v>
      </c>
      <c r="O55" s="702">
        <v>41597</v>
      </c>
      <c r="P55" s="702">
        <v>41604</v>
      </c>
      <c r="Q55" s="702" t="s">
        <v>314</v>
      </c>
      <c r="R55" s="698" t="s">
        <v>766</v>
      </c>
      <c r="S55" s="761">
        <f>24896000+3935000</f>
        <v>28831000</v>
      </c>
      <c r="T55" s="698" t="s">
        <v>767</v>
      </c>
      <c r="U55" s="761">
        <v>28831000</v>
      </c>
      <c r="V55" s="761"/>
      <c r="W55" s="761">
        <v>3051750</v>
      </c>
      <c r="X55" s="761">
        <v>3000000</v>
      </c>
      <c r="Y55" s="761">
        <v>3103500</v>
      </c>
      <c r="Z55" s="761">
        <v>3103500</v>
      </c>
      <c r="AA55" s="761">
        <v>3160500</v>
      </c>
      <c r="AB55" s="761">
        <v>3053500</v>
      </c>
      <c r="AC55" s="761">
        <f>3267500-90000</f>
        <v>3177500</v>
      </c>
      <c r="AD55" s="761">
        <v>3267500</v>
      </c>
      <c r="AE55" s="761">
        <v>3494500</v>
      </c>
      <c r="AF55" s="761"/>
      <c r="AG55" s="703">
        <f>SUM(V55:AF55)</f>
        <v>28412250</v>
      </c>
      <c r="AH55" s="698" t="s">
        <v>237</v>
      </c>
      <c r="AI55" s="698" t="s">
        <v>652</v>
      </c>
      <c r="AJ55" s="698" t="s">
        <v>725</v>
      </c>
      <c r="AK55" s="1119"/>
      <c r="AL55" s="1119"/>
      <c r="AM55" s="698">
        <v>100</v>
      </c>
      <c r="AN55" s="704">
        <f t="shared" si="4"/>
        <v>98.547570323610003</v>
      </c>
    </row>
    <row r="56" spans="1:41" ht="60" x14ac:dyDescent="0.25">
      <c r="A56" s="1103"/>
      <c r="B56" s="1119"/>
      <c r="C56" s="1119"/>
      <c r="D56" s="1119"/>
      <c r="E56" s="1119"/>
      <c r="F56" s="1119"/>
      <c r="G56" s="1148"/>
      <c r="H56" s="1103"/>
      <c r="I56" s="698">
        <f t="shared" si="6"/>
        <v>7</v>
      </c>
      <c r="J56" s="698" t="s">
        <v>315</v>
      </c>
      <c r="K56" s="698" t="s">
        <v>316</v>
      </c>
      <c r="L56" s="766" t="s">
        <v>317</v>
      </c>
      <c r="M56" s="761">
        <f>27296000+4832000</f>
        <v>32128000</v>
      </c>
      <c r="N56" s="698" t="s">
        <v>318</v>
      </c>
      <c r="O56" s="702">
        <v>41355</v>
      </c>
      <c r="P56" s="702">
        <v>41599</v>
      </c>
      <c r="Q56" s="698" t="s">
        <v>314</v>
      </c>
      <c r="R56" s="698" t="s">
        <v>762</v>
      </c>
      <c r="S56" s="761">
        <v>31243795</v>
      </c>
      <c r="T56" s="698" t="s">
        <v>740</v>
      </c>
      <c r="U56" s="764">
        <v>31243795</v>
      </c>
      <c r="V56" s="767"/>
      <c r="W56" s="761">
        <v>3300000</v>
      </c>
      <c r="X56" s="761">
        <f>W56+883795</f>
        <v>4183795</v>
      </c>
      <c r="Y56" s="761">
        <v>3300000</v>
      </c>
      <c r="Z56" s="761">
        <v>3300000</v>
      </c>
      <c r="AA56" s="761">
        <v>3300000</v>
      </c>
      <c r="AB56" s="761">
        <v>3300000</v>
      </c>
      <c r="AC56" s="761">
        <v>3300000</v>
      </c>
      <c r="AD56" s="761">
        <f>3300000</f>
        <v>3300000</v>
      </c>
      <c r="AE56" s="761">
        <f>3960000+884205</f>
        <v>4844205</v>
      </c>
      <c r="AF56" s="761"/>
      <c r="AG56" s="703">
        <f>SUM(V56:AF56)</f>
        <v>32128000</v>
      </c>
      <c r="AH56" s="698" t="s">
        <v>237</v>
      </c>
      <c r="AI56" s="761" t="s">
        <v>653</v>
      </c>
      <c r="AJ56" s="698" t="s">
        <v>304</v>
      </c>
      <c r="AK56" s="1119"/>
      <c r="AL56" s="1119"/>
      <c r="AM56" s="698">
        <v>100</v>
      </c>
      <c r="AN56" s="704">
        <f t="shared" si="4"/>
        <v>100</v>
      </c>
    </row>
    <row r="57" spans="1:41" s="12" customFormat="1" ht="75" x14ac:dyDescent="0.25">
      <c r="A57" s="1103"/>
      <c r="B57" s="1119"/>
      <c r="C57" s="1119"/>
      <c r="D57" s="1119"/>
      <c r="E57" s="1119"/>
      <c r="F57" s="1119"/>
      <c r="G57" s="1148"/>
      <c r="H57" s="1103"/>
      <c r="I57" s="698">
        <f t="shared" si="6"/>
        <v>8</v>
      </c>
      <c r="J57" s="698" t="s">
        <v>747</v>
      </c>
      <c r="K57" s="698" t="s">
        <v>319</v>
      </c>
      <c r="L57" s="698" t="s">
        <v>313</v>
      </c>
      <c r="M57" s="761">
        <f>24896000+5505000</f>
        <v>30401000</v>
      </c>
      <c r="N57" s="698" t="s">
        <v>303</v>
      </c>
      <c r="O57" s="702">
        <v>41355</v>
      </c>
      <c r="P57" s="702">
        <v>41600</v>
      </c>
      <c r="Q57" s="698" t="s">
        <v>314</v>
      </c>
      <c r="R57" s="698" t="s">
        <v>741</v>
      </c>
      <c r="S57" s="761">
        <v>29506750</v>
      </c>
      <c r="T57" s="698" t="s">
        <v>742</v>
      </c>
      <c r="U57" s="764">
        <v>29506750</v>
      </c>
      <c r="V57" s="761"/>
      <c r="W57" s="761">
        <v>3051750</v>
      </c>
      <c r="X57" s="761">
        <v>3051750</v>
      </c>
      <c r="Y57" s="761">
        <v>3672750</v>
      </c>
      <c r="Z57" s="761">
        <v>3000000</v>
      </c>
      <c r="AA57" s="761">
        <v>3000000</v>
      </c>
      <c r="AB57" s="761">
        <v>3000000</v>
      </c>
      <c r="AC57" s="761">
        <v>3107000</v>
      </c>
      <c r="AD57" s="699">
        <v>3749000</v>
      </c>
      <c r="AE57" s="761">
        <v>4623500</v>
      </c>
      <c r="AF57" s="761"/>
      <c r="AG57" s="703">
        <f>SUM(V57:AF57)</f>
        <v>30255750</v>
      </c>
      <c r="AH57" s="698" t="s">
        <v>237</v>
      </c>
      <c r="AI57" s="761" t="s">
        <v>653</v>
      </c>
      <c r="AJ57" s="698" t="s">
        <v>748</v>
      </c>
      <c r="AK57" s="1119"/>
      <c r="AL57" s="1119"/>
      <c r="AM57" s="698">
        <v>100</v>
      </c>
      <c r="AN57" s="704">
        <f t="shared" si="4"/>
        <v>99.522219663826846</v>
      </c>
    </row>
    <row r="58" spans="1:41" ht="60" x14ac:dyDescent="0.25">
      <c r="A58" s="1103"/>
      <c r="B58" s="1119"/>
      <c r="C58" s="1119"/>
      <c r="D58" s="1119"/>
      <c r="E58" s="1119"/>
      <c r="F58" s="1119"/>
      <c r="G58" s="1148"/>
      <c r="H58" s="1103"/>
      <c r="I58" s="698">
        <f t="shared" si="6"/>
        <v>9</v>
      </c>
      <c r="J58" s="698" t="s">
        <v>763</v>
      </c>
      <c r="K58" s="698" t="s">
        <v>320</v>
      </c>
      <c r="L58" s="698" t="s">
        <v>321</v>
      </c>
      <c r="M58" s="761">
        <f>27296000+4605000</f>
        <v>31901000</v>
      </c>
      <c r="N58" s="698" t="s">
        <v>303</v>
      </c>
      <c r="O58" s="702">
        <v>41355</v>
      </c>
      <c r="P58" s="698" t="s">
        <v>322</v>
      </c>
      <c r="Q58" s="702">
        <v>41604</v>
      </c>
      <c r="R58" s="698" t="s">
        <v>760</v>
      </c>
      <c r="S58" s="761">
        <v>31901000</v>
      </c>
      <c r="T58" s="698" t="s">
        <v>761</v>
      </c>
      <c r="U58" s="761">
        <v>31901000</v>
      </c>
      <c r="V58" s="761"/>
      <c r="W58" s="761">
        <v>3300000</v>
      </c>
      <c r="X58" s="761">
        <v>3714000</v>
      </c>
      <c r="Y58" s="761">
        <v>3300000</v>
      </c>
      <c r="Z58" s="761">
        <v>3300000</v>
      </c>
      <c r="AA58" s="761">
        <v>3300000</v>
      </c>
      <c r="AB58" s="761">
        <v>3300000</v>
      </c>
      <c r="AC58" s="761">
        <v>3300000</v>
      </c>
      <c r="AD58" s="761">
        <v>3300000</v>
      </c>
      <c r="AE58" s="761">
        <v>4216250</v>
      </c>
      <c r="AF58" s="761"/>
      <c r="AG58" s="703">
        <f t="shared" si="5"/>
        <v>31030250</v>
      </c>
      <c r="AH58" s="698" t="s">
        <v>237</v>
      </c>
      <c r="AI58" s="761" t="s">
        <v>654</v>
      </c>
      <c r="AJ58" s="698" t="s">
        <v>726</v>
      </c>
      <c r="AK58" s="1119"/>
      <c r="AL58" s="1119"/>
      <c r="AM58" s="698">
        <v>100</v>
      </c>
      <c r="AN58" s="704">
        <f t="shared" si="4"/>
        <v>97.27046174101126</v>
      </c>
    </row>
    <row r="59" spans="1:41" ht="60" x14ac:dyDescent="0.25">
      <c r="A59" s="1103"/>
      <c r="B59" s="1119"/>
      <c r="C59" s="1119"/>
      <c r="D59" s="1119"/>
      <c r="E59" s="1119"/>
      <c r="F59" s="1119"/>
      <c r="G59" s="1148"/>
      <c r="H59" s="1103"/>
      <c r="I59" s="698">
        <f t="shared" si="6"/>
        <v>10</v>
      </c>
      <c r="J59" s="698" t="s">
        <v>323</v>
      </c>
      <c r="K59" s="698" t="s">
        <v>324</v>
      </c>
      <c r="L59" s="698" t="s">
        <v>325</v>
      </c>
      <c r="M59" s="761">
        <f>24896000+1400000</f>
        <v>26296000</v>
      </c>
      <c r="N59" s="698" t="s">
        <v>303</v>
      </c>
      <c r="O59" s="702">
        <v>41381</v>
      </c>
      <c r="P59" s="702">
        <v>41625</v>
      </c>
      <c r="Q59" s="702">
        <v>41639</v>
      </c>
      <c r="R59" s="698" t="s">
        <v>780</v>
      </c>
      <c r="S59" s="761">
        <f>24896000+1400000</f>
        <v>26296000</v>
      </c>
      <c r="T59" s="698" t="s">
        <v>768</v>
      </c>
      <c r="U59" s="761">
        <v>26296000</v>
      </c>
      <c r="V59" s="761"/>
      <c r="W59" s="761">
        <v>3000000</v>
      </c>
      <c r="X59" s="761">
        <v>3051750</v>
      </c>
      <c r="Y59" s="761">
        <v>3000000</v>
      </c>
      <c r="Z59" s="761">
        <v>3000000</v>
      </c>
      <c r="AA59" s="761">
        <v>3000000</v>
      </c>
      <c r="AB59" s="761">
        <v>3000000</v>
      </c>
      <c r="AC59" s="761">
        <v>3000000</v>
      </c>
      <c r="AD59" s="761">
        <v>3000000</v>
      </c>
      <c r="AE59" s="761">
        <v>2244250</v>
      </c>
      <c r="AF59" s="761"/>
      <c r="AG59" s="703">
        <f t="shared" si="5"/>
        <v>26296000</v>
      </c>
      <c r="AH59" s="698" t="s">
        <v>237</v>
      </c>
      <c r="AI59" s="698" t="s">
        <v>655</v>
      </c>
      <c r="AJ59" s="698" t="s">
        <v>304</v>
      </c>
      <c r="AK59" s="1119"/>
      <c r="AL59" s="1119"/>
      <c r="AM59" s="698">
        <v>100</v>
      </c>
      <c r="AN59" s="704">
        <f t="shared" si="4"/>
        <v>100</v>
      </c>
    </row>
    <row r="60" spans="1:41" ht="60" x14ac:dyDescent="0.25">
      <c r="A60" s="1103"/>
      <c r="B60" s="1119"/>
      <c r="C60" s="1119"/>
      <c r="D60" s="1119"/>
      <c r="E60" s="1119"/>
      <c r="F60" s="1119"/>
      <c r="G60" s="1148"/>
      <c r="H60" s="1103"/>
      <c r="I60" s="698">
        <f t="shared" si="6"/>
        <v>11</v>
      </c>
      <c r="J60" s="698" t="s">
        <v>326</v>
      </c>
      <c r="K60" s="698" t="s">
        <v>327</v>
      </c>
      <c r="L60" s="698" t="s">
        <v>328</v>
      </c>
      <c r="M60" s="761">
        <v>38679995</v>
      </c>
      <c r="N60" s="698" t="s">
        <v>176</v>
      </c>
      <c r="O60" s="702">
        <v>41421</v>
      </c>
      <c r="P60" s="702">
        <v>41446</v>
      </c>
      <c r="Q60" s="702">
        <v>41619</v>
      </c>
      <c r="R60" s="698" t="s">
        <v>743</v>
      </c>
      <c r="S60" s="761">
        <v>38679995</v>
      </c>
      <c r="T60" s="698" t="s">
        <v>696</v>
      </c>
      <c r="U60" s="764">
        <v>38679995</v>
      </c>
      <c r="V60" s="761"/>
      <c r="W60" s="761">
        <v>30980000</v>
      </c>
      <c r="X60" s="761">
        <v>7669995</v>
      </c>
      <c r="Y60" s="761"/>
      <c r="Z60" s="761"/>
      <c r="AA60" s="761"/>
      <c r="AB60" s="761"/>
      <c r="AC60" s="761"/>
      <c r="AD60" s="761"/>
      <c r="AE60" s="761"/>
      <c r="AF60" s="761"/>
      <c r="AG60" s="703">
        <f t="shared" si="5"/>
        <v>38649995</v>
      </c>
      <c r="AH60" s="698" t="s">
        <v>237</v>
      </c>
      <c r="AI60" s="698" t="s">
        <v>656</v>
      </c>
      <c r="AJ60" s="698" t="s">
        <v>727</v>
      </c>
      <c r="AK60" s="1119"/>
      <c r="AL60" s="1119"/>
      <c r="AM60" s="698">
        <v>100</v>
      </c>
      <c r="AN60" s="704">
        <f t="shared" si="4"/>
        <v>99.922440527719814</v>
      </c>
    </row>
    <row r="61" spans="1:41" ht="60" x14ac:dyDescent="0.25">
      <c r="A61" s="1103"/>
      <c r="B61" s="1119"/>
      <c r="C61" s="1119"/>
      <c r="D61" s="1119"/>
      <c r="E61" s="1119"/>
      <c r="F61" s="1119"/>
      <c r="G61" s="1148"/>
      <c r="H61" s="1103"/>
      <c r="I61" s="698">
        <f t="shared" si="6"/>
        <v>12</v>
      </c>
      <c r="J61" s="698" t="s">
        <v>330</v>
      </c>
      <c r="K61" s="698" t="s">
        <v>331</v>
      </c>
      <c r="L61" s="698" t="s">
        <v>332</v>
      </c>
      <c r="M61" s="761">
        <v>16896000</v>
      </c>
      <c r="N61" s="698" t="s">
        <v>193</v>
      </c>
      <c r="O61" s="702">
        <v>41401</v>
      </c>
      <c r="P61" s="702">
        <v>41639</v>
      </c>
      <c r="Q61" s="702">
        <v>41639</v>
      </c>
      <c r="R61" s="698" t="s">
        <v>333</v>
      </c>
      <c r="S61" s="761">
        <v>15600000</v>
      </c>
      <c r="T61" s="698" t="s">
        <v>697</v>
      </c>
      <c r="U61" s="764">
        <v>15600000</v>
      </c>
      <c r="V61" s="761"/>
      <c r="W61" s="761">
        <v>2000000</v>
      </c>
      <c r="X61" s="761">
        <v>2000000</v>
      </c>
      <c r="Y61" s="761">
        <v>2000000</v>
      </c>
      <c r="Z61" s="761">
        <v>2000000</v>
      </c>
      <c r="AA61" s="761">
        <v>2000000</v>
      </c>
      <c r="AB61" s="761">
        <v>2000000</v>
      </c>
      <c r="AC61" s="761">
        <v>2000000</v>
      </c>
      <c r="AD61" s="761">
        <v>1600000</v>
      </c>
      <c r="AE61" s="761"/>
      <c r="AF61" s="761"/>
      <c r="AG61" s="703">
        <f t="shared" si="5"/>
        <v>15600000</v>
      </c>
      <c r="AH61" s="698" t="s">
        <v>237</v>
      </c>
      <c r="AI61" s="698" t="s">
        <v>657</v>
      </c>
      <c r="AJ61" s="698" t="s">
        <v>304</v>
      </c>
      <c r="AK61" s="1119"/>
      <c r="AL61" s="1119"/>
      <c r="AM61" s="698">
        <v>100</v>
      </c>
      <c r="AN61" s="704">
        <f t="shared" si="4"/>
        <v>92.329545454545453</v>
      </c>
    </row>
    <row r="62" spans="1:41" ht="90" x14ac:dyDescent="0.25">
      <c r="A62" s="1103"/>
      <c r="B62" s="1119"/>
      <c r="C62" s="1119"/>
      <c r="D62" s="1119"/>
      <c r="E62" s="1119"/>
      <c r="F62" s="1119"/>
      <c r="G62" s="1148"/>
      <c r="H62" s="1103"/>
      <c r="I62" s="698">
        <f t="shared" si="6"/>
        <v>13</v>
      </c>
      <c r="J62" s="698" t="s">
        <v>334</v>
      </c>
      <c r="K62" s="698" t="s">
        <v>288</v>
      </c>
      <c r="L62" s="698" t="s">
        <v>296</v>
      </c>
      <c r="M62" s="761">
        <v>28000000</v>
      </c>
      <c r="N62" s="698" t="s">
        <v>335</v>
      </c>
      <c r="O62" s="702">
        <v>41408</v>
      </c>
      <c r="P62" s="702">
        <v>41639</v>
      </c>
      <c r="Q62" s="702">
        <v>41639</v>
      </c>
      <c r="R62" s="698" t="s">
        <v>336</v>
      </c>
      <c r="S62" s="768">
        <v>28000000</v>
      </c>
      <c r="T62" s="698" t="s">
        <v>337</v>
      </c>
      <c r="U62" s="761">
        <v>28000000</v>
      </c>
      <c r="V62" s="761"/>
      <c r="W62" s="761">
        <v>3500000</v>
      </c>
      <c r="X62" s="761">
        <v>3500000</v>
      </c>
      <c r="Y62" s="761">
        <v>3500000</v>
      </c>
      <c r="Z62" s="761">
        <v>3500000</v>
      </c>
      <c r="AA62" s="761">
        <v>3500000</v>
      </c>
      <c r="AB62" s="761">
        <v>3500000</v>
      </c>
      <c r="AC62" s="761">
        <v>3500000</v>
      </c>
      <c r="AD62" s="761">
        <v>2100006</v>
      </c>
      <c r="AE62" s="761"/>
      <c r="AF62" s="761"/>
      <c r="AG62" s="703">
        <f t="shared" si="5"/>
        <v>26600006</v>
      </c>
      <c r="AH62" s="698" t="s">
        <v>237</v>
      </c>
      <c r="AI62" s="761" t="s">
        <v>658</v>
      </c>
      <c r="AJ62" s="698" t="s">
        <v>304</v>
      </c>
      <c r="AK62" s="1119"/>
      <c r="AL62" s="1119"/>
      <c r="AM62" s="698">
        <v>100</v>
      </c>
      <c r="AN62" s="704">
        <f t="shared" si="4"/>
        <v>95.000021428571429</v>
      </c>
    </row>
    <row r="63" spans="1:41" ht="75" x14ac:dyDescent="0.25">
      <c r="A63" s="1103"/>
      <c r="B63" s="1119"/>
      <c r="C63" s="1119"/>
      <c r="D63" s="1119"/>
      <c r="E63" s="1119"/>
      <c r="F63" s="1119"/>
      <c r="G63" s="1148"/>
      <c r="H63" s="1103"/>
      <c r="I63" s="698">
        <f t="shared" si="6"/>
        <v>14</v>
      </c>
      <c r="J63" s="698" t="s">
        <v>338</v>
      </c>
      <c r="K63" s="698" t="s">
        <v>777</v>
      </c>
      <c r="L63" s="698" t="s">
        <v>313</v>
      </c>
      <c r="M63" s="761">
        <f>24896000+3463760</f>
        <v>28359760</v>
      </c>
      <c r="N63" s="698" t="s">
        <v>193</v>
      </c>
      <c r="O63" s="702">
        <v>41410</v>
      </c>
      <c r="P63" s="702">
        <v>41639</v>
      </c>
      <c r="Q63" s="702">
        <v>41639</v>
      </c>
      <c r="R63" s="698" t="s">
        <v>778</v>
      </c>
      <c r="S63" s="761">
        <v>28359760</v>
      </c>
      <c r="T63" s="698" t="s">
        <v>779</v>
      </c>
      <c r="U63" s="764">
        <v>28359760</v>
      </c>
      <c r="V63" s="761"/>
      <c r="W63" s="761">
        <f>2395250</f>
        <v>2395250</v>
      </c>
      <c r="X63" s="761">
        <f>3200000+512000</f>
        <v>3712000</v>
      </c>
      <c r="Y63" s="761">
        <f>3200000+512000</f>
        <v>3712000</v>
      </c>
      <c r="Z63" s="761">
        <f>3200000+512000</f>
        <v>3712000</v>
      </c>
      <c r="AA63" s="761">
        <f>3200000+512000</f>
        <v>3712000</v>
      </c>
      <c r="AB63" s="761">
        <f>3200000+512000</f>
        <v>3712000</v>
      </c>
      <c r="AC63" s="761">
        <f>3513597+426667</f>
        <v>3940264</v>
      </c>
      <c r="AD63" s="761">
        <f>2986000+477760</f>
        <v>3463760</v>
      </c>
      <c r="AE63" s="761">
        <v>486</v>
      </c>
      <c r="AF63" s="761"/>
      <c r="AG63" s="703">
        <f>SUM(V63:AF63)</f>
        <v>28359760</v>
      </c>
      <c r="AH63" s="698" t="s">
        <v>237</v>
      </c>
      <c r="AI63" s="698" t="s">
        <v>659</v>
      </c>
      <c r="AJ63" s="698" t="s">
        <v>304</v>
      </c>
      <c r="AK63" s="1119"/>
      <c r="AL63" s="1119"/>
      <c r="AM63" s="698">
        <v>100</v>
      </c>
      <c r="AN63" s="704">
        <f t="shared" si="4"/>
        <v>100</v>
      </c>
    </row>
    <row r="64" spans="1:41" ht="60" x14ac:dyDescent="0.25">
      <c r="A64" s="1103"/>
      <c r="B64" s="1119"/>
      <c r="C64" s="1119"/>
      <c r="D64" s="1119"/>
      <c r="E64" s="1119"/>
      <c r="F64" s="1119"/>
      <c r="G64" s="1148"/>
      <c r="H64" s="1103"/>
      <c r="I64" s="698">
        <f t="shared" si="6"/>
        <v>15</v>
      </c>
      <c r="J64" s="698" t="s">
        <v>339</v>
      </c>
      <c r="K64" s="698" t="s">
        <v>340</v>
      </c>
      <c r="L64" s="698" t="s">
        <v>341</v>
      </c>
      <c r="M64" s="761">
        <v>26390000</v>
      </c>
      <c r="N64" s="698" t="s">
        <v>342</v>
      </c>
      <c r="O64" s="702">
        <v>41443</v>
      </c>
      <c r="P64" s="702">
        <v>41639</v>
      </c>
      <c r="Q64" s="702">
        <v>41639</v>
      </c>
      <c r="R64" s="698" t="s">
        <v>739</v>
      </c>
      <c r="S64" s="761">
        <v>22750000</v>
      </c>
      <c r="T64" s="698" t="s">
        <v>407</v>
      </c>
      <c r="U64" s="761">
        <v>22750000</v>
      </c>
      <c r="V64" s="767"/>
      <c r="W64" s="761">
        <v>3500000</v>
      </c>
      <c r="X64" s="761">
        <v>7000000</v>
      </c>
      <c r="Y64" s="761">
        <v>7000000</v>
      </c>
      <c r="Z64" s="761">
        <v>3500000</v>
      </c>
      <c r="AA64" s="761">
        <v>1750000</v>
      </c>
      <c r="AB64" s="761"/>
      <c r="AC64" s="761"/>
      <c r="AD64" s="761"/>
      <c r="AE64" s="761"/>
      <c r="AF64" s="761"/>
      <c r="AG64" s="703">
        <f>SUM(V64:AF64)</f>
        <v>22750000</v>
      </c>
      <c r="AH64" s="698" t="s">
        <v>237</v>
      </c>
      <c r="AI64" s="698" t="s">
        <v>660</v>
      </c>
      <c r="AJ64" s="698" t="s">
        <v>728</v>
      </c>
      <c r="AK64" s="1119"/>
      <c r="AL64" s="1119"/>
      <c r="AM64" s="698">
        <v>100</v>
      </c>
      <c r="AN64" s="704">
        <f t="shared" si="4"/>
        <v>86.206896551724142</v>
      </c>
    </row>
    <row r="65" spans="1:40" ht="75" x14ac:dyDescent="0.25">
      <c r="A65" s="1103"/>
      <c r="B65" s="1119"/>
      <c r="C65" s="1119"/>
      <c r="D65" s="1119"/>
      <c r="E65" s="1119"/>
      <c r="F65" s="1119"/>
      <c r="G65" s="1148"/>
      <c r="H65" s="1103"/>
      <c r="I65" s="698">
        <f t="shared" si="6"/>
        <v>16</v>
      </c>
      <c r="J65" s="698" t="s">
        <v>343</v>
      </c>
      <c r="K65" s="698" t="s">
        <v>344</v>
      </c>
      <c r="L65" s="698" t="s">
        <v>345</v>
      </c>
      <c r="M65" s="761">
        <v>7000000</v>
      </c>
      <c r="N65" s="698" t="s">
        <v>329</v>
      </c>
      <c r="O65" s="702">
        <v>41493</v>
      </c>
      <c r="P65" s="702">
        <v>41554</v>
      </c>
      <c r="Q65" s="702">
        <v>41554</v>
      </c>
      <c r="R65" s="698" t="s">
        <v>346</v>
      </c>
      <c r="S65" s="761">
        <v>7000000</v>
      </c>
      <c r="T65" s="698" t="s">
        <v>408</v>
      </c>
      <c r="U65" s="761">
        <v>7000000</v>
      </c>
      <c r="V65" s="761"/>
      <c r="W65" s="761">
        <v>3500000</v>
      </c>
      <c r="X65" s="761">
        <v>3500000</v>
      </c>
      <c r="Y65" s="761"/>
      <c r="Z65" s="761"/>
      <c r="AA65" s="761"/>
      <c r="AB65" s="761"/>
      <c r="AC65" s="761"/>
      <c r="AD65" s="761"/>
      <c r="AE65" s="761"/>
      <c r="AF65" s="761"/>
      <c r="AG65" s="703">
        <f>SUM(V65:AF65)</f>
        <v>7000000</v>
      </c>
      <c r="AH65" s="698" t="s">
        <v>237</v>
      </c>
      <c r="AI65" s="698" t="s">
        <v>661</v>
      </c>
      <c r="AJ65" s="698" t="s">
        <v>347</v>
      </c>
      <c r="AK65" s="1119"/>
      <c r="AL65" s="1119"/>
      <c r="AM65" s="698">
        <v>100</v>
      </c>
      <c r="AN65" s="704">
        <f t="shared" si="4"/>
        <v>100</v>
      </c>
    </row>
    <row r="66" spans="1:40" ht="90" x14ac:dyDescent="0.25">
      <c r="A66" s="1103"/>
      <c r="B66" s="1119"/>
      <c r="C66" s="1119"/>
      <c r="D66" s="1119"/>
      <c r="E66" s="1119"/>
      <c r="F66" s="1119"/>
      <c r="G66" s="1148"/>
      <c r="H66" s="1103"/>
      <c r="I66" s="698">
        <f t="shared" si="6"/>
        <v>17</v>
      </c>
      <c r="J66" s="698" t="s">
        <v>348</v>
      </c>
      <c r="K66" s="698" t="s">
        <v>307</v>
      </c>
      <c r="L66" s="698" t="s">
        <v>349</v>
      </c>
      <c r="M66" s="761">
        <v>9000000</v>
      </c>
      <c r="N66" s="698" t="s">
        <v>350</v>
      </c>
      <c r="O66" s="698" t="s">
        <v>351</v>
      </c>
      <c r="P66" s="702">
        <v>41639</v>
      </c>
      <c r="Q66" s="702">
        <v>41639</v>
      </c>
      <c r="R66" s="698" t="s">
        <v>352</v>
      </c>
      <c r="S66" s="761">
        <v>9000000</v>
      </c>
      <c r="T66" s="698" t="s">
        <v>409</v>
      </c>
      <c r="U66" s="761">
        <v>9000000</v>
      </c>
      <c r="V66" s="761"/>
      <c r="W66" s="761">
        <v>1500000</v>
      </c>
      <c r="X66" s="761">
        <v>1500000</v>
      </c>
      <c r="Y66" s="761">
        <v>1500000</v>
      </c>
      <c r="Z66" s="761">
        <v>1500000</v>
      </c>
      <c r="AA66" s="761">
        <v>1500000</v>
      </c>
      <c r="AB66" s="761">
        <v>1500000</v>
      </c>
      <c r="AC66" s="761"/>
      <c r="AD66" s="761"/>
      <c r="AE66" s="761"/>
      <c r="AF66" s="761"/>
      <c r="AG66" s="703">
        <f t="shared" si="5"/>
        <v>9000000</v>
      </c>
      <c r="AH66" s="698" t="s">
        <v>237</v>
      </c>
      <c r="AI66" s="698" t="s">
        <v>662</v>
      </c>
      <c r="AJ66" s="698" t="s">
        <v>304</v>
      </c>
      <c r="AK66" s="1119"/>
      <c r="AL66" s="1119"/>
      <c r="AM66" s="698">
        <v>100</v>
      </c>
      <c r="AN66" s="704">
        <f t="shared" si="4"/>
        <v>100</v>
      </c>
    </row>
    <row r="67" spans="1:40" s="12" customFormat="1" ht="75" x14ac:dyDescent="0.25">
      <c r="A67" s="1103"/>
      <c r="B67" s="1119"/>
      <c r="C67" s="1119"/>
      <c r="D67" s="1119"/>
      <c r="E67" s="1119"/>
      <c r="F67" s="1119"/>
      <c r="G67" s="1148"/>
      <c r="H67" s="1103"/>
      <c r="I67" s="698">
        <f t="shared" si="6"/>
        <v>18</v>
      </c>
      <c r="J67" s="698" t="s">
        <v>353</v>
      </c>
      <c r="K67" s="698" t="s">
        <v>354</v>
      </c>
      <c r="L67" s="698" t="s">
        <v>355</v>
      </c>
      <c r="M67" s="761">
        <v>18270000</v>
      </c>
      <c r="N67" s="698" t="s">
        <v>350</v>
      </c>
      <c r="O67" s="702">
        <v>41509</v>
      </c>
      <c r="P67" s="702">
        <v>41639</v>
      </c>
      <c r="Q67" s="702">
        <v>41639</v>
      </c>
      <c r="R67" s="698" t="s">
        <v>745</v>
      </c>
      <c r="S67" s="764">
        <v>18912000</v>
      </c>
      <c r="T67" s="698" t="s">
        <v>744</v>
      </c>
      <c r="U67" s="764">
        <v>18912000</v>
      </c>
      <c r="V67" s="761"/>
      <c r="W67" s="761">
        <v>3500000</v>
      </c>
      <c r="X67" s="761">
        <v>3500000</v>
      </c>
      <c r="Y67" s="761">
        <v>3500000</v>
      </c>
      <c r="Z67" s="761">
        <v>5250000</v>
      </c>
      <c r="AA67" s="761">
        <v>2287150</v>
      </c>
      <c r="AB67" s="761"/>
      <c r="AC67" s="761"/>
      <c r="AD67" s="761"/>
      <c r="AE67" s="761"/>
      <c r="AF67" s="761"/>
      <c r="AG67" s="703">
        <f t="shared" si="5"/>
        <v>18037150</v>
      </c>
      <c r="AH67" s="698" t="s">
        <v>237</v>
      </c>
      <c r="AI67" s="698" t="s">
        <v>663</v>
      </c>
      <c r="AJ67" s="698" t="s">
        <v>438</v>
      </c>
      <c r="AK67" s="1119"/>
      <c r="AL67" s="1119"/>
      <c r="AM67" s="698">
        <v>100</v>
      </c>
      <c r="AN67" s="704">
        <f t="shared" si="4"/>
        <v>98.725506294471813</v>
      </c>
    </row>
    <row r="68" spans="1:40" ht="75" x14ac:dyDescent="0.25">
      <c r="A68" s="1103"/>
      <c r="B68" s="1119"/>
      <c r="C68" s="1119"/>
      <c r="D68" s="1119"/>
      <c r="E68" s="1119"/>
      <c r="F68" s="1119"/>
      <c r="G68" s="1148"/>
      <c r="H68" s="1103"/>
      <c r="I68" s="698">
        <f t="shared" si="6"/>
        <v>19</v>
      </c>
      <c r="J68" s="698" t="s">
        <v>356</v>
      </c>
      <c r="K68" s="698" t="s">
        <v>357</v>
      </c>
      <c r="L68" s="698" t="s">
        <v>358</v>
      </c>
      <c r="M68" s="761">
        <v>16120000</v>
      </c>
      <c r="N68" s="698" t="s">
        <v>350</v>
      </c>
      <c r="O68" s="702">
        <v>41509</v>
      </c>
      <c r="P68" s="702">
        <v>41639</v>
      </c>
      <c r="Q68" s="702">
        <v>41639</v>
      </c>
      <c r="R68" s="698">
        <v>3</v>
      </c>
      <c r="S68" s="761">
        <v>16120000</v>
      </c>
      <c r="T68" s="698" t="s">
        <v>410</v>
      </c>
      <c r="U68" s="761">
        <v>16120000</v>
      </c>
      <c r="V68" s="761"/>
      <c r="W68" s="761">
        <v>3150000</v>
      </c>
      <c r="X68" s="761">
        <v>3150000</v>
      </c>
      <c r="Y68" s="761">
        <v>3150000</v>
      </c>
      <c r="Z68" s="761">
        <v>3150000</v>
      </c>
      <c r="AA68" s="761">
        <v>3257000</v>
      </c>
      <c r="AB68" s="761"/>
      <c r="AC68" s="761"/>
      <c r="AD68" s="761"/>
      <c r="AE68" s="761"/>
      <c r="AF68" s="761"/>
      <c r="AG68" s="703">
        <f>SUM(V68:AF68)</f>
        <v>15857000</v>
      </c>
      <c r="AH68" s="698" t="s">
        <v>237</v>
      </c>
      <c r="AI68" s="698" t="s">
        <v>664</v>
      </c>
      <c r="AJ68" s="698" t="s">
        <v>411</v>
      </c>
      <c r="AK68" s="1119"/>
      <c r="AL68" s="1119"/>
      <c r="AM68" s="698">
        <v>100</v>
      </c>
      <c r="AN68" s="704">
        <f t="shared" si="4"/>
        <v>98.368486352357323</v>
      </c>
    </row>
    <row r="69" spans="1:40" s="12" customFormat="1" ht="105" x14ac:dyDescent="0.25">
      <c r="A69" s="1103"/>
      <c r="B69" s="1119"/>
      <c r="C69" s="1119"/>
      <c r="D69" s="1119"/>
      <c r="E69" s="1119"/>
      <c r="F69" s="1119"/>
      <c r="G69" s="1148"/>
      <c r="H69" s="1103"/>
      <c r="I69" s="698">
        <f t="shared" si="6"/>
        <v>20</v>
      </c>
      <c r="J69" s="698" t="s">
        <v>359</v>
      </c>
      <c r="K69" s="698" t="s">
        <v>360</v>
      </c>
      <c r="L69" s="698" t="s">
        <v>361</v>
      </c>
      <c r="M69" s="761">
        <v>16120000</v>
      </c>
      <c r="N69" s="698" t="s">
        <v>350</v>
      </c>
      <c r="O69" s="702">
        <v>41509</v>
      </c>
      <c r="P69" s="702">
        <v>41639</v>
      </c>
      <c r="Q69" s="702">
        <v>41639</v>
      </c>
      <c r="R69" s="698" t="s">
        <v>362</v>
      </c>
      <c r="S69" s="761">
        <v>15695500</v>
      </c>
      <c r="T69" s="698" t="s">
        <v>698</v>
      </c>
      <c r="U69" s="764">
        <v>15695500</v>
      </c>
      <c r="V69" s="761"/>
      <c r="W69" s="761">
        <v>3000000</v>
      </c>
      <c r="X69" s="761">
        <v>3000000</v>
      </c>
      <c r="Y69" s="761">
        <v>3428000</v>
      </c>
      <c r="Z69" s="761">
        <v>3160500</v>
      </c>
      <c r="AA69" s="761">
        <v>3107000</v>
      </c>
      <c r="AB69" s="761"/>
      <c r="AC69" s="761"/>
      <c r="AD69" s="761"/>
      <c r="AE69" s="761"/>
      <c r="AF69" s="761"/>
      <c r="AG69" s="703">
        <f t="shared" si="5"/>
        <v>15695500</v>
      </c>
      <c r="AH69" s="698" t="s">
        <v>237</v>
      </c>
      <c r="AI69" s="698" t="s">
        <v>665</v>
      </c>
      <c r="AJ69" s="698" t="s">
        <v>412</v>
      </c>
      <c r="AK69" s="1119"/>
      <c r="AL69" s="1119"/>
      <c r="AM69" s="698">
        <v>100</v>
      </c>
      <c r="AN69" s="704">
        <f t="shared" si="4"/>
        <v>97.366625310173703</v>
      </c>
    </row>
    <row r="70" spans="1:40" ht="105" x14ac:dyDescent="0.25">
      <c r="A70" s="1103"/>
      <c r="B70" s="1119"/>
      <c r="C70" s="1119"/>
      <c r="D70" s="1119"/>
      <c r="E70" s="1119"/>
      <c r="F70" s="1119"/>
      <c r="G70" s="1148"/>
      <c r="H70" s="1103"/>
      <c r="I70" s="698">
        <f t="shared" si="6"/>
        <v>21</v>
      </c>
      <c r="J70" s="698" t="s">
        <v>363</v>
      </c>
      <c r="K70" s="698" t="s">
        <v>364</v>
      </c>
      <c r="L70" s="698" t="s">
        <v>361</v>
      </c>
      <c r="M70" s="761">
        <v>13120000</v>
      </c>
      <c r="N70" s="698" t="s">
        <v>335</v>
      </c>
      <c r="O70" s="702">
        <v>41526</v>
      </c>
      <c r="P70" s="702">
        <v>41639</v>
      </c>
      <c r="Q70" s="702">
        <v>41639</v>
      </c>
      <c r="R70" s="698" t="s">
        <v>365</v>
      </c>
      <c r="S70" s="761">
        <v>12374500</v>
      </c>
      <c r="T70" s="698" t="s">
        <v>413</v>
      </c>
      <c r="U70" s="764">
        <v>12374500</v>
      </c>
      <c r="V70" s="761"/>
      <c r="W70" s="761">
        <v>3107000</v>
      </c>
      <c r="X70" s="761">
        <v>3107000</v>
      </c>
      <c r="Y70" s="761">
        <v>3107000</v>
      </c>
      <c r="Z70" s="761">
        <v>3053500</v>
      </c>
      <c r="AA70" s="761"/>
      <c r="AB70" s="761"/>
      <c r="AC70" s="761"/>
      <c r="AD70" s="761"/>
      <c r="AE70" s="761"/>
      <c r="AF70" s="761"/>
      <c r="AG70" s="703">
        <f t="shared" si="5"/>
        <v>12374500</v>
      </c>
      <c r="AH70" s="698" t="s">
        <v>237</v>
      </c>
      <c r="AI70" s="698" t="s">
        <v>666</v>
      </c>
      <c r="AJ70" s="698" t="s">
        <v>414</v>
      </c>
      <c r="AK70" s="1119"/>
      <c r="AL70" s="1119"/>
      <c r="AM70" s="698">
        <v>100</v>
      </c>
      <c r="AN70" s="704">
        <f t="shared" si="4"/>
        <v>94.317835365853654</v>
      </c>
    </row>
    <row r="71" spans="1:40" s="12" customFormat="1" ht="90" x14ac:dyDescent="0.25">
      <c r="A71" s="1103"/>
      <c r="B71" s="1119"/>
      <c r="C71" s="1119"/>
      <c r="D71" s="1119"/>
      <c r="E71" s="1119"/>
      <c r="F71" s="1119"/>
      <c r="G71" s="1148"/>
      <c r="H71" s="1103"/>
      <c r="I71" s="698">
        <f t="shared" si="6"/>
        <v>22</v>
      </c>
      <c r="J71" s="698" t="s">
        <v>366</v>
      </c>
      <c r="K71" s="698" t="s">
        <v>367</v>
      </c>
      <c r="L71" s="698" t="s">
        <v>368</v>
      </c>
      <c r="M71" s="761">
        <v>4800000</v>
      </c>
      <c r="N71" s="698" t="s">
        <v>329</v>
      </c>
      <c r="O71" s="769">
        <v>41527</v>
      </c>
      <c r="P71" s="702">
        <v>41639</v>
      </c>
      <c r="Q71" s="702">
        <v>41639</v>
      </c>
      <c r="R71" s="698" t="s">
        <v>369</v>
      </c>
      <c r="S71" s="699">
        <v>4800000</v>
      </c>
      <c r="T71" s="698" t="s">
        <v>440</v>
      </c>
      <c r="U71" s="699">
        <v>4800000</v>
      </c>
      <c r="V71" s="761"/>
      <c r="W71" s="761">
        <v>1200000</v>
      </c>
      <c r="X71" s="761">
        <v>1200000</v>
      </c>
      <c r="Y71" s="761">
        <v>1200000</v>
      </c>
      <c r="Z71" s="761">
        <v>1200000</v>
      </c>
      <c r="AA71" s="761"/>
      <c r="AB71" s="761"/>
      <c r="AC71" s="761"/>
      <c r="AD71" s="761"/>
      <c r="AE71" s="761"/>
      <c r="AF71" s="761"/>
      <c r="AG71" s="703">
        <f t="shared" si="5"/>
        <v>4800000</v>
      </c>
      <c r="AH71" s="698" t="s">
        <v>237</v>
      </c>
      <c r="AI71" s="698" t="s">
        <v>171</v>
      </c>
      <c r="AJ71" s="698"/>
      <c r="AK71" s="1119"/>
      <c r="AL71" s="1119"/>
      <c r="AM71" s="698">
        <v>100</v>
      </c>
      <c r="AN71" s="704">
        <f t="shared" si="4"/>
        <v>100</v>
      </c>
    </row>
    <row r="72" spans="1:40" s="12" customFormat="1" ht="45" x14ac:dyDescent="0.25">
      <c r="A72" s="1103"/>
      <c r="B72" s="1119"/>
      <c r="C72" s="1119"/>
      <c r="D72" s="1119"/>
      <c r="E72" s="1119"/>
      <c r="F72" s="1119"/>
      <c r="G72" s="1148"/>
      <c r="H72" s="1103"/>
      <c r="I72" s="698">
        <f t="shared" si="6"/>
        <v>23</v>
      </c>
      <c r="J72" s="698" t="s">
        <v>370</v>
      </c>
      <c r="K72" s="698" t="s">
        <v>371</v>
      </c>
      <c r="L72" s="698" t="s">
        <v>447</v>
      </c>
      <c r="M72" s="761">
        <v>12000000</v>
      </c>
      <c r="N72" s="698" t="s">
        <v>329</v>
      </c>
      <c r="O72" s="702">
        <v>41553</v>
      </c>
      <c r="P72" s="702">
        <v>41639</v>
      </c>
      <c r="Q72" s="702">
        <v>41684</v>
      </c>
      <c r="R72" s="698" t="s">
        <v>373</v>
      </c>
      <c r="S72" s="761">
        <v>12000000</v>
      </c>
      <c r="T72" s="698" t="s">
        <v>446</v>
      </c>
      <c r="U72" s="764">
        <v>12000000</v>
      </c>
      <c r="V72" s="761"/>
      <c r="W72" s="761">
        <v>3094500</v>
      </c>
      <c r="X72" s="761">
        <v>3000000</v>
      </c>
      <c r="Y72" s="761"/>
      <c r="Z72" s="761"/>
      <c r="AA72" s="761"/>
      <c r="AB72" s="761"/>
      <c r="AC72" s="761"/>
      <c r="AD72" s="761"/>
      <c r="AE72" s="761"/>
      <c r="AF72" s="761"/>
      <c r="AG72" s="703">
        <f t="shared" si="5"/>
        <v>6094500</v>
      </c>
      <c r="AH72" s="698" t="s">
        <v>237</v>
      </c>
      <c r="AI72" s="698" t="s">
        <v>180</v>
      </c>
      <c r="AJ72" s="698" t="s">
        <v>448</v>
      </c>
      <c r="AK72" s="1119"/>
      <c r="AL72" s="1119"/>
      <c r="AM72" s="698">
        <v>50.79</v>
      </c>
      <c r="AN72" s="704">
        <f t="shared" si="4"/>
        <v>50.787500000000001</v>
      </c>
    </row>
    <row r="73" spans="1:40" s="12" customFormat="1" ht="45" x14ac:dyDescent="0.25">
      <c r="A73" s="1103"/>
      <c r="B73" s="1119"/>
      <c r="C73" s="1119"/>
      <c r="D73" s="1119"/>
      <c r="E73" s="1119"/>
      <c r="F73" s="1119"/>
      <c r="G73" s="1148"/>
      <c r="H73" s="1103"/>
      <c r="I73" s="698">
        <f t="shared" si="6"/>
        <v>24</v>
      </c>
      <c r="J73" s="698" t="s">
        <v>374</v>
      </c>
      <c r="K73" s="698" t="s">
        <v>375</v>
      </c>
      <c r="L73" s="698" t="s">
        <v>372</v>
      </c>
      <c r="M73" s="761">
        <v>12000000</v>
      </c>
      <c r="N73" s="698" t="s">
        <v>329</v>
      </c>
      <c r="O73" s="702">
        <v>41563</v>
      </c>
      <c r="P73" s="702">
        <v>41639</v>
      </c>
      <c r="Q73" s="769">
        <v>41684</v>
      </c>
      <c r="R73" s="698" t="s">
        <v>376</v>
      </c>
      <c r="S73" s="761">
        <v>12000000</v>
      </c>
      <c r="T73" s="698" t="s">
        <v>441</v>
      </c>
      <c r="U73" s="761">
        <v>12000000</v>
      </c>
      <c r="V73" s="761"/>
      <c r="W73" s="761">
        <v>3945000</v>
      </c>
      <c r="X73" s="761">
        <v>3000000</v>
      </c>
      <c r="Y73" s="761"/>
      <c r="Z73" s="761"/>
      <c r="AA73" s="761"/>
      <c r="AB73" s="761"/>
      <c r="AC73" s="761"/>
      <c r="AD73" s="761"/>
      <c r="AE73" s="761"/>
      <c r="AF73" s="761"/>
      <c r="AG73" s="703">
        <f t="shared" si="5"/>
        <v>6945000</v>
      </c>
      <c r="AH73" s="698" t="s">
        <v>237</v>
      </c>
      <c r="AI73" s="698" t="s">
        <v>180</v>
      </c>
      <c r="AJ73" s="698" t="s">
        <v>442</v>
      </c>
      <c r="AK73" s="1119"/>
      <c r="AL73" s="1119"/>
      <c r="AM73" s="698">
        <v>57.88</v>
      </c>
      <c r="AN73" s="704">
        <f>(AG73*100)/M73</f>
        <v>57.875</v>
      </c>
    </row>
    <row r="74" spans="1:40" s="12" customFormat="1" ht="78" customHeight="1" x14ac:dyDescent="0.25">
      <c r="A74" s="1103"/>
      <c r="B74" s="1120"/>
      <c r="C74" s="1120"/>
      <c r="D74" s="1120"/>
      <c r="E74" s="1120"/>
      <c r="F74" s="1120"/>
      <c r="G74" s="1149"/>
      <c r="H74" s="1104"/>
      <c r="I74" s="698">
        <f t="shared" si="6"/>
        <v>25</v>
      </c>
      <c r="J74" s="698" t="s">
        <v>377</v>
      </c>
      <c r="K74" s="698" t="s">
        <v>378</v>
      </c>
      <c r="L74" s="698" t="s">
        <v>379</v>
      </c>
      <c r="M74" s="761">
        <v>6000000</v>
      </c>
      <c r="N74" s="698" t="s">
        <v>329</v>
      </c>
      <c r="O74" s="702">
        <v>41576</v>
      </c>
      <c r="P74" s="702">
        <v>41639</v>
      </c>
      <c r="Q74" s="702">
        <v>41639</v>
      </c>
      <c r="R74" s="698" t="s">
        <v>380</v>
      </c>
      <c r="S74" s="761">
        <v>6000000</v>
      </c>
      <c r="T74" s="698" t="s">
        <v>439</v>
      </c>
      <c r="U74" s="764">
        <v>6000000</v>
      </c>
      <c r="V74" s="761"/>
      <c r="W74" s="761">
        <v>3000000</v>
      </c>
      <c r="X74" s="761">
        <v>3000000</v>
      </c>
      <c r="Y74" s="761"/>
      <c r="Z74" s="761"/>
      <c r="AA74" s="761"/>
      <c r="AB74" s="761"/>
      <c r="AC74" s="761"/>
      <c r="AD74" s="761"/>
      <c r="AE74" s="761"/>
      <c r="AF74" s="761"/>
      <c r="AG74" s="703">
        <f t="shared" si="5"/>
        <v>6000000</v>
      </c>
      <c r="AH74" s="698" t="s">
        <v>237</v>
      </c>
      <c r="AI74" s="698" t="s">
        <v>667</v>
      </c>
      <c r="AJ74" s="698"/>
      <c r="AK74" s="1120"/>
      <c r="AL74" s="1120"/>
      <c r="AM74" s="698">
        <v>100</v>
      </c>
      <c r="AN74" s="704">
        <f t="shared" si="4"/>
        <v>100</v>
      </c>
    </row>
    <row r="75" spans="1:40" s="12" customFormat="1" x14ac:dyDescent="0.25">
      <c r="A75" s="1104"/>
      <c r="B75" s="770"/>
      <c r="C75" s="705"/>
      <c r="D75" s="771"/>
      <c r="E75" s="705"/>
      <c r="F75" s="771"/>
      <c r="G75" s="772"/>
      <c r="H75" s="773"/>
      <c r="I75" s="698"/>
      <c r="J75" s="698"/>
      <c r="K75" s="698"/>
      <c r="L75" s="698"/>
      <c r="M75" s="774">
        <f>SUM(M50:M74)</f>
        <v>512569440</v>
      </c>
      <c r="N75" s="698"/>
      <c r="O75" s="775"/>
      <c r="P75" s="698"/>
      <c r="Q75" s="702"/>
      <c r="R75" s="776"/>
      <c r="S75" s="761">
        <f>SUM(S50:S74)</f>
        <v>505326985</v>
      </c>
      <c r="T75" s="777"/>
      <c r="U75" s="764">
        <f>SUM(U50:U74)</f>
        <v>505326985</v>
      </c>
      <c r="V75" s="774"/>
      <c r="W75" s="761"/>
      <c r="X75" s="774"/>
      <c r="Y75" s="761"/>
      <c r="Z75" s="761"/>
      <c r="AA75" s="774"/>
      <c r="AB75" s="761"/>
      <c r="AC75" s="774"/>
      <c r="AD75" s="761"/>
      <c r="AE75" s="761"/>
      <c r="AF75" s="774"/>
      <c r="AG75" s="703">
        <f>SUM(AG50:AG74)</f>
        <v>491459846</v>
      </c>
      <c r="AH75" s="698"/>
      <c r="AI75" s="776"/>
      <c r="AJ75" s="698"/>
      <c r="AK75" s="706"/>
      <c r="AL75" s="706"/>
      <c r="AM75" s="704">
        <v>96.34</v>
      </c>
      <c r="AN75" s="704">
        <v>94.56</v>
      </c>
    </row>
    <row r="76" spans="1:40" ht="160.5" customHeight="1" x14ac:dyDescent="0.25">
      <c r="A76" s="778">
        <v>15</v>
      </c>
      <c r="B76" s="779" t="s">
        <v>386</v>
      </c>
      <c r="C76" s="591" t="s">
        <v>394</v>
      </c>
      <c r="D76" s="361">
        <v>2013</v>
      </c>
      <c r="E76" s="591" t="s">
        <v>395</v>
      </c>
      <c r="F76" s="591" t="s">
        <v>420</v>
      </c>
      <c r="G76" s="713">
        <v>49355000</v>
      </c>
      <c r="H76" s="361" t="s">
        <v>795</v>
      </c>
      <c r="I76" s="591">
        <v>1</v>
      </c>
      <c r="J76" s="591" t="s">
        <v>418</v>
      </c>
      <c r="K76" s="591" t="s">
        <v>419</v>
      </c>
      <c r="L76" s="591" t="s">
        <v>420</v>
      </c>
      <c r="M76" s="780">
        <v>47647788</v>
      </c>
      <c r="N76" s="591" t="s">
        <v>335</v>
      </c>
      <c r="O76" s="781">
        <v>41515</v>
      </c>
      <c r="P76" s="591" t="s">
        <v>421</v>
      </c>
      <c r="Q76" s="714">
        <v>41607</v>
      </c>
      <c r="R76" s="361" t="s">
        <v>422</v>
      </c>
      <c r="S76" s="782">
        <v>23823894.399999999</v>
      </c>
      <c r="T76" s="361" t="s">
        <v>699</v>
      </c>
      <c r="U76" s="783">
        <v>23823894.399999999</v>
      </c>
      <c r="V76" s="784">
        <v>23823894</v>
      </c>
      <c r="W76" s="782">
        <v>23823894</v>
      </c>
      <c r="X76" s="785"/>
      <c r="Y76" s="786"/>
      <c r="Z76" s="786"/>
      <c r="AA76" s="785"/>
      <c r="AB76" s="786"/>
      <c r="AC76" s="785"/>
      <c r="AD76" s="786"/>
      <c r="AE76" s="786"/>
      <c r="AF76" s="785"/>
      <c r="AG76" s="713">
        <f>SUM(V76:AF76)</f>
        <v>47647788</v>
      </c>
      <c r="AH76" s="591" t="s">
        <v>237</v>
      </c>
      <c r="AI76" s="361" t="s">
        <v>423</v>
      </c>
      <c r="AJ76" s="591" t="s">
        <v>424</v>
      </c>
      <c r="AK76" s="591" t="s">
        <v>420</v>
      </c>
      <c r="AL76" s="591" t="s">
        <v>774</v>
      </c>
      <c r="AM76" s="590">
        <v>100</v>
      </c>
      <c r="AN76" s="38">
        <f>(AG76*100)/M76</f>
        <v>100</v>
      </c>
    </row>
    <row r="77" spans="1:40" ht="90" x14ac:dyDescent="0.25">
      <c r="A77" s="1105">
        <v>16</v>
      </c>
      <c r="B77" s="1108" t="s">
        <v>386</v>
      </c>
      <c r="C77" s="1108" t="s">
        <v>384</v>
      </c>
      <c r="D77" s="1108">
        <v>2013</v>
      </c>
      <c r="E77" s="1108" t="s">
        <v>383</v>
      </c>
      <c r="F77" s="1108" t="s">
        <v>636</v>
      </c>
      <c r="G77" s="1116">
        <v>937479000</v>
      </c>
      <c r="H77" s="1108" t="s">
        <v>715</v>
      </c>
      <c r="I77" s="377">
        <v>1</v>
      </c>
      <c r="J77" s="377" t="s">
        <v>425</v>
      </c>
      <c r="K77" s="377" t="s">
        <v>426</v>
      </c>
      <c r="L77" s="377" t="s">
        <v>427</v>
      </c>
      <c r="M77" s="787" t="s">
        <v>428</v>
      </c>
      <c r="N77" s="377" t="s">
        <v>350</v>
      </c>
      <c r="O77" s="788">
        <v>41522</v>
      </c>
      <c r="P77" s="788">
        <v>41639</v>
      </c>
      <c r="Q77" s="788">
        <v>41669</v>
      </c>
      <c r="R77" s="377" t="s">
        <v>429</v>
      </c>
      <c r="S77" s="787">
        <v>548654665</v>
      </c>
      <c r="T77" s="377" t="s">
        <v>757</v>
      </c>
      <c r="U77" s="789">
        <v>548654665</v>
      </c>
      <c r="V77" s="790">
        <v>166661866</v>
      </c>
      <c r="W77" s="790">
        <v>145187185</v>
      </c>
      <c r="X77" s="790">
        <v>236805614</v>
      </c>
      <c r="Y77" s="791"/>
      <c r="Z77" s="791"/>
      <c r="AA77" s="791"/>
      <c r="AB77" s="791"/>
      <c r="AC77" s="791"/>
      <c r="AD77" s="791"/>
      <c r="AE77" s="791"/>
      <c r="AF77" s="791"/>
      <c r="AG77" s="790">
        <f t="shared" si="5"/>
        <v>548654665</v>
      </c>
      <c r="AH77" s="377" t="s">
        <v>237</v>
      </c>
      <c r="AI77" s="377" t="s">
        <v>430</v>
      </c>
      <c r="AJ77" s="792"/>
      <c r="AK77" s="1108" t="s">
        <v>730</v>
      </c>
      <c r="AL77" s="1108" t="s">
        <v>730</v>
      </c>
      <c r="AM77" s="378">
        <v>100</v>
      </c>
      <c r="AN77" s="793">
        <v>100</v>
      </c>
    </row>
    <row r="78" spans="1:40" ht="90" x14ac:dyDescent="0.25">
      <c r="A78" s="1106"/>
      <c r="B78" s="1109"/>
      <c r="C78" s="1109"/>
      <c r="D78" s="1109"/>
      <c r="E78" s="1109"/>
      <c r="F78" s="1109"/>
      <c r="G78" s="1117"/>
      <c r="H78" s="1109"/>
      <c r="I78" s="377">
        <v>2</v>
      </c>
      <c r="J78" s="377" t="s">
        <v>431</v>
      </c>
      <c r="K78" s="377" t="s">
        <v>432</v>
      </c>
      <c r="L78" s="377" t="s">
        <v>433</v>
      </c>
      <c r="M78" s="787" t="s">
        <v>434</v>
      </c>
      <c r="N78" s="377" t="s">
        <v>350</v>
      </c>
      <c r="O78" s="788">
        <v>41522</v>
      </c>
      <c r="P78" s="788">
        <v>41639</v>
      </c>
      <c r="Q78" s="788">
        <v>41669</v>
      </c>
      <c r="R78" s="377" t="s">
        <v>435</v>
      </c>
      <c r="S78" s="787">
        <v>42572660</v>
      </c>
      <c r="T78" s="377" t="s">
        <v>436</v>
      </c>
      <c r="U78" s="794">
        <v>36991160</v>
      </c>
      <c r="V78" s="790">
        <v>11100464</v>
      </c>
      <c r="W78" s="790">
        <v>25890696</v>
      </c>
      <c r="X78" s="790"/>
      <c r="Y78" s="790"/>
      <c r="Z78" s="790"/>
      <c r="AA78" s="790"/>
      <c r="AB78" s="790"/>
      <c r="AC78" s="790"/>
      <c r="AD78" s="790"/>
      <c r="AE78" s="790"/>
      <c r="AF78" s="790"/>
      <c r="AG78" s="790">
        <f t="shared" si="5"/>
        <v>36991160</v>
      </c>
      <c r="AH78" s="377" t="s">
        <v>237</v>
      </c>
      <c r="AI78" s="377" t="s">
        <v>437</v>
      </c>
      <c r="AJ78" s="795"/>
      <c r="AK78" s="1109"/>
      <c r="AL78" s="1109"/>
      <c r="AM78" s="378">
        <v>100</v>
      </c>
      <c r="AN78" s="793">
        <v>100</v>
      </c>
    </row>
    <row r="79" spans="1:40" x14ac:dyDescent="0.25">
      <c r="A79" s="1107"/>
      <c r="B79" s="796"/>
      <c r="C79" s="796"/>
      <c r="D79" s="796"/>
      <c r="E79" s="796"/>
      <c r="F79" s="797"/>
      <c r="G79" s="798"/>
      <c r="H79" s="797"/>
      <c r="I79" s="377"/>
      <c r="J79" s="377"/>
      <c r="K79" s="377"/>
      <c r="L79" s="377"/>
      <c r="M79" s="787">
        <f>416654665+132000000+27751160+9240000</f>
        <v>585645825</v>
      </c>
      <c r="N79" s="377"/>
      <c r="O79" s="788"/>
      <c r="P79" s="788"/>
      <c r="Q79" s="788"/>
      <c r="R79" s="377"/>
      <c r="S79" s="787">
        <f>SUM(S77:S78)</f>
        <v>591227325</v>
      </c>
      <c r="T79" s="377"/>
      <c r="U79" s="787">
        <f>SUM(U77:U78)</f>
        <v>585645825</v>
      </c>
      <c r="V79" s="790"/>
      <c r="W79" s="790"/>
      <c r="X79" s="790"/>
      <c r="Y79" s="790"/>
      <c r="Z79" s="790"/>
      <c r="AA79" s="790"/>
      <c r="AB79" s="790"/>
      <c r="AC79" s="790"/>
      <c r="AD79" s="790"/>
      <c r="AE79" s="790"/>
      <c r="AF79" s="790"/>
      <c r="AG79" s="790">
        <f>SUM(AG77:AG78)</f>
        <v>585645825</v>
      </c>
      <c r="AH79" s="377"/>
      <c r="AI79" s="377"/>
      <c r="AJ79" s="792"/>
      <c r="AK79" s="796"/>
      <c r="AL79" s="796"/>
      <c r="AM79" s="378">
        <v>100</v>
      </c>
      <c r="AN79" s="793">
        <v>100</v>
      </c>
    </row>
    <row r="80" spans="1:40" s="21" customFormat="1" ht="137.25" customHeight="1" x14ac:dyDescent="0.25">
      <c r="A80" s="36">
        <v>17</v>
      </c>
      <c r="B80" s="36" t="s">
        <v>642</v>
      </c>
      <c r="C80" s="36" t="s">
        <v>641</v>
      </c>
      <c r="D80" s="36">
        <v>2014</v>
      </c>
      <c r="E80" s="240" t="s">
        <v>451</v>
      </c>
      <c r="F80" s="240" t="s">
        <v>452</v>
      </c>
      <c r="G80" s="41">
        <v>239838000</v>
      </c>
      <c r="H80" s="240" t="s">
        <v>716</v>
      </c>
      <c r="I80" s="240"/>
      <c r="J80" s="240"/>
      <c r="K80" s="240"/>
      <c r="L80" s="240"/>
      <c r="M80" s="41">
        <v>241837930</v>
      </c>
      <c r="N80" s="240" t="s">
        <v>453</v>
      </c>
      <c r="O80" s="195"/>
      <c r="P80" s="195"/>
      <c r="Q80" s="195"/>
      <c r="R80" s="240" t="s">
        <v>454</v>
      </c>
      <c r="S80" s="41">
        <v>239837930</v>
      </c>
      <c r="T80" s="240"/>
      <c r="U80" s="196"/>
      <c r="V80" s="604"/>
      <c r="W80" s="604"/>
      <c r="X80" s="604"/>
      <c r="Y80" s="604"/>
      <c r="Z80" s="604"/>
      <c r="AA80" s="604"/>
      <c r="AB80" s="604"/>
      <c r="AC80" s="604"/>
      <c r="AD80" s="604"/>
      <c r="AE80" s="604"/>
      <c r="AF80" s="604"/>
      <c r="AG80" s="604">
        <f t="shared" si="5"/>
        <v>0</v>
      </c>
      <c r="AH80" s="240"/>
      <c r="AI80" s="240"/>
      <c r="AJ80" s="240" t="s">
        <v>719</v>
      </c>
      <c r="AK80" s="240" t="s">
        <v>775</v>
      </c>
      <c r="AL80" s="240" t="s">
        <v>731</v>
      </c>
      <c r="AM80" s="36">
        <v>0</v>
      </c>
      <c r="AN80" s="124">
        <f t="shared" si="4"/>
        <v>0</v>
      </c>
    </row>
    <row r="81" spans="1:40" s="28" customFormat="1" ht="110.25" customHeight="1" x14ac:dyDescent="0.25">
      <c r="A81" s="1158">
        <v>18</v>
      </c>
      <c r="B81" s="1110" t="s">
        <v>386</v>
      </c>
      <c r="C81" s="1110" t="s">
        <v>384</v>
      </c>
      <c r="D81" s="1110">
        <v>2013</v>
      </c>
      <c r="E81" s="1110" t="s">
        <v>643</v>
      </c>
      <c r="F81" s="1110" t="s">
        <v>542</v>
      </c>
      <c r="G81" s="1121">
        <v>470000000</v>
      </c>
      <c r="H81" s="1110" t="s">
        <v>543</v>
      </c>
      <c r="I81" s="281">
        <v>1</v>
      </c>
      <c r="J81" s="281" t="s">
        <v>455</v>
      </c>
      <c r="K81" s="281" t="s">
        <v>456</v>
      </c>
      <c r="L81" s="281" t="s">
        <v>464</v>
      </c>
      <c r="M81" s="608">
        <v>10000000</v>
      </c>
      <c r="N81" s="281" t="s">
        <v>457</v>
      </c>
      <c r="O81" s="799">
        <v>41340</v>
      </c>
      <c r="P81" s="799">
        <v>41494</v>
      </c>
      <c r="Q81" s="799">
        <v>41494</v>
      </c>
      <c r="R81" s="800" t="s">
        <v>458</v>
      </c>
      <c r="S81" s="608">
        <v>10000000</v>
      </c>
      <c r="T81" s="281" t="s">
        <v>459</v>
      </c>
      <c r="U81" s="801">
        <v>10000000</v>
      </c>
      <c r="V81" s="606"/>
      <c r="W81" s="606">
        <v>2000000</v>
      </c>
      <c r="X81" s="606">
        <v>2000000</v>
      </c>
      <c r="Y81" s="606">
        <v>2000000</v>
      </c>
      <c r="Z81" s="606">
        <v>2000000</v>
      </c>
      <c r="AA81" s="606">
        <v>2000000</v>
      </c>
      <c r="AB81" s="606"/>
      <c r="AC81" s="606"/>
      <c r="AD81" s="606"/>
      <c r="AE81" s="606"/>
      <c r="AF81" s="606"/>
      <c r="AG81" s="606">
        <f>SUM(V81:AF81)</f>
        <v>10000000</v>
      </c>
      <c r="AH81" s="281" t="s">
        <v>484</v>
      </c>
      <c r="AI81" s="281" t="s">
        <v>669</v>
      </c>
      <c r="AJ81" s="605" t="s">
        <v>461</v>
      </c>
      <c r="AK81" s="1110" t="s">
        <v>542</v>
      </c>
      <c r="AL81" s="1110" t="s">
        <v>732</v>
      </c>
      <c r="AM81" s="605">
        <v>100</v>
      </c>
      <c r="AN81" s="648">
        <f t="shared" si="4"/>
        <v>100</v>
      </c>
    </row>
    <row r="82" spans="1:40" s="28" customFormat="1" ht="106.5" customHeight="1" x14ac:dyDescent="0.25">
      <c r="A82" s="1159"/>
      <c r="B82" s="1111"/>
      <c r="C82" s="1111"/>
      <c r="D82" s="1111"/>
      <c r="E82" s="1111"/>
      <c r="F82" s="1111"/>
      <c r="G82" s="1122"/>
      <c r="H82" s="1111"/>
      <c r="I82" s="281">
        <f>I81+1</f>
        <v>2</v>
      </c>
      <c r="J82" s="281" t="s">
        <v>462</v>
      </c>
      <c r="K82" s="281" t="s">
        <v>463</v>
      </c>
      <c r="L82" s="281" t="s">
        <v>465</v>
      </c>
      <c r="M82" s="608">
        <v>15000000</v>
      </c>
      <c r="N82" s="281" t="s">
        <v>457</v>
      </c>
      <c r="O82" s="799">
        <v>41340</v>
      </c>
      <c r="P82" s="799">
        <v>41493</v>
      </c>
      <c r="Q82" s="799">
        <v>41493</v>
      </c>
      <c r="R82" s="281" t="s">
        <v>466</v>
      </c>
      <c r="S82" s="608">
        <v>15000000</v>
      </c>
      <c r="T82" s="281" t="s">
        <v>467</v>
      </c>
      <c r="U82" s="802">
        <v>15000000</v>
      </c>
      <c r="V82" s="606"/>
      <c r="W82" s="606">
        <v>3000000</v>
      </c>
      <c r="X82" s="606">
        <v>3000000</v>
      </c>
      <c r="Y82" s="606">
        <v>3000000</v>
      </c>
      <c r="Z82" s="606">
        <v>3000000</v>
      </c>
      <c r="AA82" s="606">
        <v>3000000</v>
      </c>
      <c r="AB82" s="606"/>
      <c r="AC82" s="606"/>
      <c r="AD82" s="606"/>
      <c r="AE82" s="606"/>
      <c r="AF82" s="606"/>
      <c r="AG82" s="606">
        <f t="shared" ref="AG82:AG94" si="7">SUM(V82:AF82)</f>
        <v>15000000</v>
      </c>
      <c r="AH82" s="281" t="s">
        <v>485</v>
      </c>
      <c r="AI82" s="281" t="s">
        <v>669</v>
      </c>
      <c r="AJ82" s="605" t="s">
        <v>461</v>
      </c>
      <c r="AK82" s="1111"/>
      <c r="AL82" s="1111"/>
      <c r="AM82" s="605">
        <v>100</v>
      </c>
      <c r="AN82" s="648">
        <f t="shared" si="4"/>
        <v>100</v>
      </c>
    </row>
    <row r="83" spans="1:40" s="28" customFormat="1" ht="127.5" customHeight="1" x14ac:dyDescent="0.25">
      <c r="A83" s="1159"/>
      <c r="B83" s="1111"/>
      <c r="C83" s="1111"/>
      <c r="D83" s="1111"/>
      <c r="E83" s="1111"/>
      <c r="F83" s="1111"/>
      <c r="G83" s="1122"/>
      <c r="H83" s="1111"/>
      <c r="I83" s="281">
        <f t="shared" ref="I83:I94" si="8">I82+1</f>
        <v>3</v>
      </c>
      <c r="J83" s="281" t="s">
        <v>520</v>
      </c>
      <c r="K83" s="281" t="s">
        <v>517</v>
      </c>
      <c r="L83" s="281" t="s">
        <v>518</v>
      </c>
      <c r="M83" s="608">
        <v>24800000</v>
      </c>
      <c r="N83" s="281" t="s">
        <v>342</v>
      </c>
      <c r="O83" s="799">
        <v>41403</v>
      </c>
      <c r="P83" s="799">
        <v>41587</v>
      </c>
      <c r="Q83" s="799">
        <v>41587</v>
      </c>
      <c r="R83" s="281" t="s">
        <v>758</v>
      </c>
      <c r="S83" s="608">
        <v>24800000</v>
      </c>
      <c r="T83" s="281" t="s">
        <v>759</v>
      </c>
      <c r="U83" s="802">
        <v>24800000</v>
      </c>
      <c r="V83" s="606"/>
      <c r="W83" s="606">
        <v>3300000</v>
      </c>
      <c r="X83" s="606">
        <v>3300000</v>
      </c>
      <c r="Y83" s="606">
        <v>3300000</v>
      </c>
      <c r="Z83" s="606">
        <v>3300000</v>
      </c>
      <c r="AA83" s="606">
        <v>3300000</v>
      </c>
      <c r="AB83" s="606">
        <v>3300000</v>
      </c>
      <c r="AC83" s="606">
        <v>5000000</v>
      </c>
      <c r="AD83" s="606"/>
      <c r="AE83" s="606"/>
      <c r="AF83" s="606"/>
      <c r="AG83" s="606">
        <f t="shared" si="7"/>
        <v>24800000</v>
      </c>
      <c r="AH83" s="281" t="s">
        <v>505</v>
      </c>
      <c r="AI83" s="281" t="s">
        <v>670</v>
      </c>
      <c r="AJ83" s="605" t="s">
        <v>461</v>
      </c>
      <c r="AK83" s="1111"/>
      <c r="AL83" s="1111"/>
      <c r="AM83" s="605">
        <v>100</v>
      </c>
      <c r="AN83" s="648">
        <v>100</v>
      </c>
    </row>
    <row r="84" spans="1:40" s="28" customFormat="1" ht="93.75" customHeight="1" x14ac:dyDescent="0.25">
      <c r="A84" s="1159"/>
      <c r="B84" s="1111"/>
      <c r="C84" s="1111"/>
      <c r="D84" s="1111"/>
      <c r="E84" s="1111"/>
      <c r="F84" s="1111"/>
      <c r="G84" s="1122"/>
      <c r="H84" s="1111"/>
      <c r="I84" s="281">
        <f t="shared" si="8"/>
        <v>4</v>
      </c>
      <c r="J84" s="281" t="s">
        <v>468</v>
      </c>
      <c r="K84" s="281" t="s">
        <v>469</v>
      </c>
      <c r="L84" s="281" t="s">
        <v>499</v>
      </c>
      <c r="M84" s="608">
        <v>10000000</v>
      </c>
      <c r="N84" s="281" t="s">
        <v>457</v>
      </c>
      <c r="O84" s="799">
        <v>41340</v>
      </c>
      <c r="P84" s="799">
        <v>41492</v>
      </c>
      <c r="Q84" s="799">
        <v>41492</v>
      </c>
      <c r="R84" s="281" t="s">
        <v>470</v>
      </c>
      <c r="S84" s="608">
        <v>10000000</v>
      </c>
      <c r="T84" s="281" t="s">
        <v>471</v>
      </c>
      <c r="U84" s="802">
        <v>10000000</v>
      </c>
      <c r="V84" s="606"/>
      <c r="W84" s="606">
        <v>2000000</v>
      </c>
      <c r="X84" s="606">
        <v>2000000</v>
      </c>
      <c r="Y84" s="606">
        <v>2000000</v>
      </c>
      <c r="Z84" s="606">
        <v>2000000</v>
      </c>
      <c r="AA84" s="606">
        <v>2000000</v>
      </c>
      <c r="AB84" s="606"/>
      <c r="AC84" s="606"/>
      <c r="AD84" s="606"/>
      <c r="AE84" s="606"/>
      <c r="AF84" s="606"/>
      <c r="AG84" s="606">
        <f t="shared" si="7"/>
        <v>10000000</v>
      </c>
      <c r="AH84" s="281" t="s">
        <v>486</v>
      </c>
      <c r="AI84" s="281" t="s">
        <v>669</v>
      </c>
      <c r="AJ84" s="605" t="s">
        <v>461</v>
      </c>
      <c r="AK84" s="1111"/>
      <c r="AL84" s="1111"/>
      <c r="AM84" s="605">
        <v>100</v>
      </c>
      <c r="AN84" s="648">
        <f t="shared" si="4"/>
        <v>100</v>
      </c>
    </row>
    <row r="85" spans="1:40" s="28" customFormat="1" ht="127.5" customHeight="1" x14ac:dyDescent="0.25">
      <c r="A85" s="1159"/>
      <c r="B85" s="1111"/>
      <c r="C85" s="1111"/>
      <c r="D85" s="1111"/>
      <c r="E85" s="1111"/>
      <c r="F85" s="1111"/>
      <c r="G85" s="1122"/>
      <c r="H85" s="1111"/>
      <c r="I85" s="281">
        <f t="shared" si="8"/>
        <v>5</v>
      </c>
      <c r="J85" s="281" t="s">
        <v>525</v>
      </c>
      <c r="K85" s="281" t="s">
        <v>521</v>
      </c>
      <c r="L85" s="281" t="s">
        <v>522</v>
      </c>
      <c r="M85" s="608">
        <v>18000000</v>
      </c>
      <c r="N85" s="281" t="s">
        <v>342</v>
      </c>
      <c r="O85" s="799">
        <v>41432</v>
      </c>
      <c r="P85" s="799">
        <v>41615</v>
      </c>
      <c r="Q85" s="799">
        <v>41615</v>
      </c>
      <c r="R85" s="281" t="s">
        <v>523</v>
      </c>
      <c r="S85" s="608">
        <v>18000000</v>
      </c>
      <c r="T85" s="281" t="s">
        <v>524</v>
      </c>
      <c r="U85" s="802">
        <v>18000000</v>
      </c>
      <c r="V85" s="606"/>
      <c r="W85" s="606">
        <v>3000000</v>
      </c>
      <c r="X85" s="606">
        <v>3000000</v>
      </c>
      <c r="Y85" s="606">
        <v>3000000</v>
      </c>
      <c r="Z85" s="606">
        <v>3000000</v>
      </c>
      <c r="AA85" s="606">
        <v>3000000</v>
      </c>
      <c r="AB85" s="606">
        <v>3000000</v>
      </c>
      <c r="AC85" s="606"/>
      <c r="AD85" s="606"/>
      <c r="AE85" s="606"/>
      <c r="AF85" s="606"/>
      <c r="AG85" s="606">
        <f t="shared" si="7"/>
        <v>18000000</v>
      </c>
      <c r="AH85" s="281" t="s">
        <v>505</v>
      </c>
      <c r="AI85" s="281" t="s">
        <v>460</v>
      </c>
      <c r="AJ85" s="605" t="s">
        <v>461</v>
      </c>
      <c r="AK85" s="1111"/>
      <c r="AL85" s="1111"/>
      <c r="AM85" s="605">
        <v>100</v>
      </c>
      <c r="AN85" s="648">
        <f t="shared" si="4"/>
        <v>100</v>
      </c>
    </row>
    <row r="86" spans="1:40" s="28" customFormat="1" ht="146.25" customHeight="1" x14ac:dyDescent="0.25">
      <c r="A86" s="1159"/>
      <c r="B86" s="1111"/>
      <c r="C86" s="1111"/>
      <c r="D86" s="1111"/>
      <c r="E86" s="1111"/>
      <c r="F86" s="1111"/>
      <c r="G86" s="1122"/>
      <c r="H86" s="1111"/>
      <c r="I86" s="281">
        <f t="shared" si="8"/>
        <v>6</v>
      </c>
      <c r="J86" s="281" t="s">
        <v>526</v>
      </c>
      <c r="K86" s="281" t="s">
        <v>527</v>
      </c>
      <c r="L86" s="281" t="s">
        <v>528</v>
      </c>
      <c r="M86" s="608">
        <v>29700000</v>
      </c>
      <c r="N86" s="281" t="s">
        <v>318</v>
      </c>
      <c r="O86" s="799">
        <v>41365</v>
      </c>
      <c r="P86" s="799">
        <v>41638</v>
      </c>
      <c r="Q86" s="799">
        <v>41638</v>
      </c>
      <c r="R86" s="281" t="s">
        <v>529</v>
      </c>
      <c r="S86" s="608">
        <v>29700000</v>
      </c>
      <c r="T86" s="281" t="s">
        <v>530</v>
      </c>
      <c r="U86" s="802">
        <v>29700000</v>
      </c>
      <c r="V86" s="606"/>
      <c r="W86" s="606">
        <v>3300000</v>
      </c>
      <c r="X86" s="606">
        <v>3300000</v>
      </c>
      <c r="Y86" s="606">
        <v>3300000</v>
      </c>
      <c r="Z86" s="606">
        <v>3300000</v>
      </c>
      <c r="AA86" s="606">
        <v>3300000</v>
      </c>
      <c r="AB86" s="606">
        <v>3300000</v>
      </c>
      <c r="AC86" s="606">
        <v>3300000</v>
      </c>
      <c r="AD86" s="606">
        <v>3300000</v>
      </c>
      <c r="AE86" s="606">
        <v>3300000</v>
      </c>
      <c r="AF86" s="606"/>
      <c r="AG86" s="606">
        <f t="shared" si="7"/>
        <v>29700000</v>
      </c>
      <c r="AH86" s="281" t="s">
        <v>531</v>
      </c>
      <c r="AI86" s="281" t="s">
        <v>671</v>
      </c>
      <c r="AJ86" s="605" t="s">
        <v>461</v>
      </c>
      <c r="AK86" s="1111"/>
      <c r="AL86" s="1111"/>
      <c r="AM86" s="605">
        <v>100</v>
      </c>
      <c r="AN86" s="648">
        <f t="shared" si="4"/>
        <v>100</v>
      </c>
    </row>
    <row r="87" spans="1:40" s="28" customFormat="1" ht="146.25" customHeight="1" x14ac:dyDescent="0.25">
      <c r="A87" s="1159"/>
      <c r="B87" s="1111"/>
      <c r="C87" s="1111"/>
      <c r="D87" s="1111"/>
      <c r="E87" s="1111"/>
      <c r="F87" s="1111"/>
      <c r="G87" s="1122"/>
      <c r="H87" s="1111"/>
      <c r="I87" s="281">
        <f t="shared" si="8"/>
        <v>7</v>
      </c>
      <c r="J87" s="281" t="s">
        <v>668</v>
      </c>
      <c r="K87" s="281" t="s">
        <v>532</v>
      </c>
      <c r="L87" s="281" t="s">
        <v>533</v>
      </c>
      <c r="M87" s="608">
        <v>27000000</v>
      </c>
      <c r="N87" s="281" t="s">
        <v>193</v>
      </c>
      <c r="O87" s="799">
        <v>41396</v>
      </c>
      <c r="P87" s="799">
        <v>41639</v>
      </c>
      <c r="Q87" s="799">
        <v>41639</v>
      </c>
      <c r="R87" s="281" t="s">
        <v>534</v>
      </c>
      <c r="S87" s="608">
        <v>29700000</v>
      </c>
      <c r="T87" s="281" t="s">
        <v>535</v>
      </c>
      <c r="U87" s="802">
        <v>27000000</v>
      </c>
      <c r="V87" s="606"/>
      <c r="W87" s="606">
        <v>3000000</v>
      </c>
      <c r="X87" s="606">
        <v>3000000</v>
      </c>
      <c r="Y87" s="606">
        <v>3000000</v>
      </c>
      <c r="Z87" s="606">
        <v>3000000</v>
      </c>
      <c r="AA87" s="606">
        <v>3000000</v>
      </c>
      <c r="AB87" s="606">
        <v>3000000</v>
      </c>
      <c r="AC87" s="606">
        <v>3000000</v>
      </c>
      <c r="AD87" s="606">
        <v>6000000</v>
      </c>
      <c r="AE87" s="606"/>
      <c r="AF87" s="606"/>
      <c r="AG87" s="606">
        <f t="shared" si="7"/>
        <v>27000000</v>
      </c>
      <c r="AH87" s="281" t="s">
        <v>505</v>
      </c>
      <c r="AI87" s="281" t="s">
        <v>672</v>
      </c>
      <c r="AJ87" s="605" t="s">
        <v>461</v>
      </c>
      <c r="AK87" s="1111"/>
      <c r="AL87" s="1111"/>
      <c r="AM87" s="605">
        <v>100</v>
      </c>
      <c r="AN87" s="648">
        <f>(AG87*100)/M87</f>
        <v>100</v>
      </c>
    </row>
    <row r="88" spans="1:40" s="28" customFormat="1" ht="146.25" customHeight="1" x14ac:dyDescent="0.25">
      <c r="A88" s="1159"/>
      <c r="B88" s="1111"/>
      <c r="C88" s="1111"/>
      <c r="D88" s="1111"/>
      <c r="E88" s="1111"/>
      <c r="F88" s="1111"/>
      <c r="G88" s="1122"/>
      <c r="H88" s="1111"/>
      <c r="I88" s="281">
        <f t="shared" si="8"/>
        <v>8</v>
      </c>
      <c r="J88" s="281" t="s">
        <v>537</v>
      </c>
      <c r="K88" s="281" t="s">
        <v>538</v>
      </c>
      <c r="L88" s="281" t="s">
        <v>539</v>
      </c>
      <c r="M88" s="608">
        <v>18000000</v>
      </c>
      <c r="N88" s="281" t="s">
        <v>540</v>
      </c>
      <c r="O88" s="799">
        <v>41432</v>
      </c>
      <c r="P88" s="799">
        <v>41615</v>
      </c>
      <c r="Q88" s="799">
        <v>41615</v>
      </c>
      <c r="R88" s="281" t="s">
        <v>787</v>
      </c>
      <c r="S88" s="608">
        <v>18000000</v>
      </c>
      <c r="T88" s="281" t="s">
        <v>541</v>
      </c>
      <c r="U88" s="802">
        <v>18000000</v>
      </c>
      <c r="V88" s="606"/>
      <c r="W88" s="606">
        <v>3000000</v>
      </c>
      <c r="X88" s="606">
        <v>3000000</v>
      </c>
      <c r="Y88" s="606">
        <v>3000000</v>
      </c>
      <c r="Z88" s="606">
        <v>3000000</v>
      </c>
      <c r="AA88" s="606">
        <v>3000000</v>
      </c>
      <c r="AB88" s="606">
        <v>3000000</v>
      </c>
      <c r="AC88" s="606"/>
      <c r="AD88" s="606"/>
      <c r="AE88" s="606"/>
      <c r="AF88" s="606"/>
      <c r="AG88" s="606">
        <f t="shared" si="7"/>
        <v>18000000</v>
      </c>
      <c r="AH88" s="281" t="s">
        <v>505</v>
      </c>
      <c r="AI88" s="803" t="s">
        <v>460</v>
      </c>
      <c r="AJ88" s="605" t="s">
        <v>461</v>
      </c>
      <c r="AK88" s="1111"/>
      <c r="AL88" s="1111"/>
      <c r="AM88" s="605">
        <v>100</v>
      </c>
      <c r="AN88" s="648">
        <f t="shared" si="4"/>
        <v>100</v>
      </c>
    </row>
    <row r="89" spans="1:40" s="28" customFormat="1" ht="165.75" customHeight="1" x14ac:dyDescent="0.25">
      <c r="A89" s="1159"/>
      <c r="B89" s="1111"/>
      <c r="C89" s="1111"/>
      <c r="D89" s="1111"/>
      <c r="E89" s="1111"/>
      <c r="F89" s="1111"/>
      <c r="G89" s="1122"/>
      <c r="H89" s="1111"/>
      <c r="I89" s="281">
        <f t="shared" si="8"/>
        <v>9</v>
      </c>
      <c r="J89" s="281" t="s">
        <v>569</v>
      </c>
      <c r="K89" s="281" t="s">
        <v>469</v>
      </c>
      <c r="L89" s="281" t="s">
        <v>570</v>
      </c>
      <c r="M89" s="608" t="s">
        <v>1694</v>
      </c>
      <c r="N89" s="281" t="s">
        <v>571</v>
      </c>
      <c r="O89" s="799">
        <v>41498</v>
      </c>
      <c r="P89" s="799">
        <v>41639</v>
      </c>
      <c r="Q89" s="799">
        <v>41639</v>
      </c>
      <c r="R89" s="281" t="s">
        <v>572</v>
      </c>
      <c r="S89" s="608">
        <v>10000000</v>
      </c>
      <c r="T89" s="281" t="s">
        <v>573</v>
      </c>
      <c r="U89" s="801">
        <v>9333333</v>
      </c>
      <c r="V89" s="606"/>
      <c r="W89" s="606">
        <v>2000000</v>
      </c>
      <c r="X89" s="606">
        <v>2000000</v>
      </c>
      <c r="Y89" s="606">
        <v>2000000</v>
      </c>
      <c r="Z89" s="606">
        <v>2000000</v>
      </c>
      <c r="AA89" s="606">
        <v>1333333</v>
      </c>
      <c r="AB89" s="606"/>
      <c r="AC89" s="606"/>
      <c r="AD89" s="606"/>
      <c r="AE89" s="606"/>
      <c r="AF89" s="606"/>
      <c r="AG89" s="606">
        <f t="shared" si="7"/>
        <v>9333333</v>
      </c>
      <c r="AH89" s="281" t="s">
        <v>237</v>
      </c>
      <c r="AI89" s="281" t="s">
        <v>574</v>
      </c>
      <c r="AJ89" s="281" t="s">
        <v>575</v>
      </c>
      <c r="AK89" s="1111"/>
      <c r="AL89" s="1111"/>
      <c r="AM89" s="605">
        <v>100</v>
      </c>
      <c r="AN89" s="648">
        <v>100</v>
      </c>
    </row>
    <row r="90" spans="1:40" s="28" customFormat="1" ht="196.5" customHeight="1" x14ac:dyDescent="0.25">
      <c r="A90" s="1159"/>
      <c r="B90" s="1111"/>
      <c r="C90" s="1111"/>
      <c r="D90" s="1111"/>
      <c r="E90" s="1111"/>
      <c r="F90" s="1111"/>
      <c r="G90" s="1122"/>
      <c r="H90" s="1111"/>
      <c r="I90" s="281">
        <f t="shared" si="8"/>
        <v>10</v>
      </c>
      <c r="J90" s="281" t="s">
        <v>576</v>
      </c>
      <c r="K90" s="281" t="s">
        <v>463</v>
      </c>
      <c r="L90" s="281" t="s">
        <v>577</v>
      </c>
      <c r="M90" s="608" t="s">
        <v>1695</v>
      </c>
      <c r="N90" s="281" t="s">
        <v>457</v>
      </c>
      <c r="O90" s="799">
        <v>41498</v>
      </c>
      <c r="P90" s="799">
        <v>41639</v>
      </c>
      <c r="Q90" s="799">
        <v>41639</v>
      </c>
      <c r="R90" s="281" t="s">
        <v>578</v>
      </c>
      <c r="S90" s="608">
        <v>15000000</v>
      </c>
      <c r="T90" s="281" t="s">
        <v>579</v>
      </c>
      <c r="U90" s="608">
        <v>14000000</v>
      </c>
      <c r="V90" s="606"/>
      <c r="W90" s="606">
        <v>3000000</v>
      </c>
      <c r="X90" s="606">
        <v>3000000</v>
      </c>
      <c r="Y90" s="606">
        <v>3000000</v>
      </c>
      <c r="Z90" s="606">
        <v>3000000</v>
      </c>
      <c r="AA90" s="606">
        <v>2000000</v>
      </c>
      <c r="AB90" s="606"/>
      <c r="AC90" s="606"/>
      <c r="AD90" s="606"/>
      <c r="AE90" s="606"/>
      <c r="AF90" s="606"/>
      <c r="AG90" s="606">
        <f t="shared" si="7"/>
        <v>14000000</v>
      </c>
      <c r="AH90" s="281" t="s">
        <v>237</v>
      </c>
      <c r="AI90" s="281" t="s">
        <v>574</v>
      </c>
      <c r="AJ90" s="281" t="s">
        <v>575</v>
      </c>
      <c r="AK90" s="1111"/>
      <c r="AL90" s="1111"/>
      <c r="AM90" s="605">
        <v>100</v>
      </c>
      <c r="AN90" s="648">
        <v>100</v>
      </c>
    </row>
    <row r="91" spans="1:40" s="28" customFormat="1" ht="196.5" customHeight="1" x14ac:dyDescent="0.25">
      <c r="A91" s="1159"/>
      <c r="B91" s="1111"/>
      <c r="C91" s="1111"/>
      <c r="D91" s="1111"/>
      <c r="E91" s="1111"/>
      <c r="F91" s="1111"/>
      <c r="G91" s="1122"/>
      <c r="H91" s="1111"/>
      <c r="I91" s="281">
        <f t="shared" si="8"/>
        <v>11</v>
      </c>
      <c r="J91" s="281" t="s">
        <v>580</v>
      </c>
      <c r="K91" s="281" t="s">
        <v>456</v>
      </c>
      <c r="L91" s="281" t="s">
        <v>581</v>
      </c>
      <c r="M91" s="608" t="s">
        <v>1694</v>
      </c>
      <c r="N91" s="281" t="s">
        <v>457</v>
      </c>
      <c r="O91" s="799">
        <v>41498</v>
      </c>
      <c r="P91" s="799">
        <v>41639</v>
      </c>
      <c r="Q91" s="799">
        <v>41639</v>
      </c>
      <c r="R91" s="281" t="s">
        <v>582</v>
      </c>
      <c r="S91" s="608">
        <v>10000000</v>
      </c>
      <c r="T91" s="281" t="s">
        <v>583</v>
      </c>
      <c r="U91" s="804">
        <v>9333333</v>
      </c>
      <c r="V91" s="606"/>
      <c r="W91" s="606">
        <v>2000000</v>
      </c>
      <c r="X91" s="606">
        <v>2000000</v>
      </c>
      <c r="Y91" s="606">
        <v>2000000</v>
      </c>
      <c r="Z91" s="606">
        <v>2000000</v>
      </c>
      <c r="AA91" s="606">
        <v>1333333</v>
      </c>
      <c r="AB91" s="606"/>
      <c r="AC91" s="606"/>
      <c r="AD91" s="606"/>
      <c r="AE91" s="606"/>
      <c r="AF91" s="606"/>
      <c r="AG91" s="606">
        <f t="shared" si="7"/>
        <v>9333333</v>
      </c>
      <c r="AH91" s="281" t="s">
        <v>237</v>
      </c>
      <c r="AI91" s="281" t="s">
        <v>574</v>
      </c>
      <c r="AJ91" s="281" t="s">
        <v>575</v>
      </c>
      <c r="AK91" s="1111"/>
      <c r="AL91" s="1111"/>
      <c r="AM91" s="605">
        <v>100</v>
      </c>
      <c r="AN91" s="648">
        <v>100</v>
      </c>
    </row>
    <row r="92" spans="1:40" s="28" customFormat="1" ht="164.25" customHeight="1" x14ac:dyDescent="0.25">
      <c r="A92" s="1159"/>
      <c r="B92" s="1111"/>
      <c r="C92" s="1111"/>
      <c r="D92" s="1111"/>
      <c r="E92" s="1111"/>
      <c r="F92" s="1111"/>
      <c r="G92" s="1122"/>
      <c r="H92" s="1111"/>
      <c r="I92" s="281">
        <f t="shared" si="8"/>
        <v>12</v>
      </c>
      <c r="J92" s="281" t="s">
        <v>619</v>
      </c>
      <c r="K92" s="281" t="s">
        <v>620</v>
      </c>
      <c r="L92" s="281" t="s">
        <v>621</v>
      </c>
      <c r="M92" s="608">
        <v>21450000</v>
      </c>
      <c r="N92" s="281" t="s">
        <v>622</v>
      </c>
      <c r="O92" s="799" t="s">
        <v>623</v>
      </c>
      <c r="P92" s="799">
        <v>41631</v>
      </c>
      <c r="Q92" s="799">
        <v>41631</v>
      </c>
      <c r="R92" s="281" t="s">
        <v>624</v>
      </c>
      <c r="S92" s="608">
        <v>23100000</v>
      </c>
      <c r="T92" s="281" t="s">
        <v>625</v>
      </c>
      <c r="U92" s="802">
        <v>21450000</v>
      </c>
      <c r="V92" s="606"/>
      <c r="W92" s="606">
        <v>3300000</v>
      </c>
      <c r="X92" s="606">
        <v>3300000</v>
      </c>
      <c r="Y92" s="606">
        <v>3300000</v>
      </c>
      <c r="Z92" s="606">
        <v>3300000</v>
      </c>
      <c r="AA92" s="606">
        <v>3300000</v>
      </c>
      <c r="AB92" s="606">
        <v>3300000</v>
      </c>
      <c r="AC92" s="606">
        <v>1650000</v>
      </c>
      <c r="AD92" s="606"/>
      <c r="AE92" s="606"/>
      <c r="AF92" s="606"/>
      <c r="AG92" s="606">
        <f t="shared" si="7"/>
        <v>21450000</v>
      </c>
      <c r="AH92" s="281" t="s">
        <v>237</v>
      </c>
      <c r="AI92" s="281" t="s">
        <v>626</v>
      </c>
      <c r="AJ92" s="281" t="s">
        <v>627</v>
      </c>
      <c r="AK92" s="1111"/>
      <c r="AL92" s="1111"/>
      <c r="AM92" s="605">
        <v>100</v>
      </c>
      <c r="AN92" s="648">
        <f t="shared" ref="AN92:AN110" si="9">(AG92*100)/M92</f>
        <v>100</v>
      </c>
    </row>
    <row r="93" spans="1:40" s="28" customFormat="1" ht="99.75" customHeight="1" x14ac:dyDescent="0.25">
      <c r="A93" s="1159"/>
      <c r="B93" s="1111"/>
      <c r="C93" s="1111"/>
      <c r="D93" s="1111"/>
      <c r="E93" s="1111"/>
      <c r="F93" s="1111"/>
      <c r="G93" s="1122"/>
      <c r="H93" s="1111"/>
      <c r="I93" s="281">
        <v>13</v>
      </c>
      <c r="J93" s="281" t="s">
        <v>628</v>
      </c>
      <c r="K93" s="281" t="s">
        <v>629</v>
      </c>
      <c r="L93" s="281" t="s">
        <v>630</v>
      </c>
      <c r="M93" s="608">
        <v>18000000</v>
      </c>
      <c r="N93" s="281" t="s">
        <v>342</v>
      </c>
      <c r="O93" s="799">
        <v>41452</v>
      </c>
      <c r="P93" s="799">
        <v>41635</v>
      </c>
      <c r="Q93" s="799">
        <v>41635</v>
      </c>
      <c r="R93" s="281" t="s">
        <v>788</v>
      </c>
      <c r="S93" s="608">
        <v>18000000</v>
      </c>
      <c r="T93" s="281" t="s">
        <v>789</v>
      </c>
      <c r="U93" s="802">
        <v>18000000</v>
      </c>
      <c r="V93" s="606"/>
      <c r="W93" s="606">
        <v>3000000</v>
      </c>
      <c r="X93" s="606">
        <v>3000000</v>
      </c>
      <c r="Y93" s="606">
        <v>3000000</v>
      </c>
      <c r="Z93" s="606">
        <v>3000000</v>
      </c>
      <c r="AA93" s="606">
        <v>3000000</v>
      </c>
      <c r="AB93" s="606">
        <v>3000000</v>
      </c>
      <c r="AC93" s="606"/>
      <c r="AD93" s="606"/>
      <c r="AE93" s="606"/>
      <c r="AF93" s="606"/>
      <c r="AG93" s="606">
        <f t="shared" si="7"/>
        <v>18000000</v>
      </c>
      <c r="AH93" s="281" t="s">
        <v>237</v>
      </c>
      <c r="AI93" s="281" t="s">
        <v>631</v>
      </c>
      <c r="AJ93" s="281" t="s">
        <v>632</v>
      </c>
      <c r="AK93" s="1111"/>
      <c r="AL93" s="1111"/>
      <c r="AM93" s="605">
        <v>100</v>
      </c>
      <c r="AN93" s="648">
        <f t="shared" si="9"/>
        <v>100</v>
      </c>
    </row>
    <row r="94" spans="1:40" s="28" customFormat="1" ht="144" customHeight="1" x14ac:dyDescent="0.25">
      <c r="A94" s="1159"/>
      <c r="B94" s="1112"/>
      <c r="C94" s="1111"/>
      <c r="D94" s="1112"/>
      <c r="E94" s="1112"/>
      <c r="F94" s="1112"/>
      <c r="G94" s="1123"/>
      <c r="H94" s="1112"/>
      <c r="I94" s="281">
        <f t="shared" si="8"/>
        <v>14</v>
      </c>
      <c r="J94" s="281" t="s">
        <v>791</v>
      </c>
      <c r="K94" s="281" t="s">
        <v>538</v>
      </c>
      <c r="L94" s="281" t="s">
        <v>539</v>
      </c>
      <c r="M94" s="605">
        <v>18000000</v>
      </c>
      <c r="N94" s="605" t="s">
        <v>342</v>
      </c>
      <c r="O94" s="605" t="s">
        <v>623</v>
      </c>
      <c r="P94" s="607">
        <v>41615</v>
      </c>
      <c r="Q94" s="607">
        <v>41615</v>
      </c>
      <c r="R94" s="281" t="s">
        <v>633</v>
      </c>
      <c r="S94" s="805">
        <v>18000000</v>
      </c>
      <c r="T94" s="281" t="s">
        <v>790</v>
      </c>
      <c r="U94" s="806">
        <v>18000000</v>
      </c>
      <c r="V94" s="807"/>
      <c r="W94" s="808">
        <v>3000000</v>
      </c>
      <c r="X94" s="808">
        <v>3000000</v>
      </c>
      <c r="Y94" s="808">
        <v>3000000</v>
      </c>
      <c r="Z94" s="808">
        <v>3000000</v>
      </c>
      <c r="AA94" s="808">
        <v>3000000</v>
      </c>
      <c r="AB94" s="808">
        <v>3000000</v>
      </c>
      <c r="AC94" s="808"/>
      <c r="AD94" s="808"/>
      <c r="AE94" s="808"/>
      <c r="AF94" s="808"/>
      <c r="AG94" s="606">
        <f t="shared" si="7"/>
        <v>18000000</v>
      </c>
      <c r="AH94" s="808" t="s">
        <v>237</v>
      </c>
      <c r="AI94" s="808" t="s">
        <v>634</v>
      </c>
      <c r="AJ94" s="808"/>
      <c r="AK94" s="1112"/>
      <c r="AL94" s="1112"/>
      <c r="AM94" s="605">
        <v>100</v>
      </c>
      <c r="AN94" s="648">
        <f>(AG94*100)/M94</f>
        <v>100</v>
      </c>
    </row>
    <row r="95" spans="1:40" s="28" customFormat="1" ht="15" customHeight="1" x14ac:dyDescent="0.25">
      <c r="A95" s="1160"/>
      <c r="B95" s="809"/>
      <c r="C95" s="809"/>
      <c r="D95" s="622"/>
      <c r="E95" s="622"/>
      <c r="F95" s="622"/>
      <c r="G95" s="810"/>
      <c r="H95" s="622"/>
      <c r="I95" s="281"/>
      <c r="J95" s="281"/>
      <c r="K95" s="281"/>
      <c r="L95" s="281"/>
      <c r="M95" s="752">
        <f>SUM(M81:M94)</f>
        <v>209950000</v>
      </c>
      <c r="N95" s="605"/>
      <c r="O95" s="605"/>
      <c r="P95" s="607"/>
      <c r="Q95" s="807"/>
      <c r="R95" s="281"/>
      <c r="S95" s="805">
        <f>SUM(S81:S94)</f>
        <v>249300000</v>
      </c>
      <c r="T95" s="281"/>
      <c r="U95" s="805">
        <f>SUM(U81:U94)</f>
        <v>242616666</v>
      </c>
      <c r="V95" s="807"/>
      <c r="W95" s="808"/>
      <c r="X95" s="808"/>
      <c r="Y95" s="808"/>
      <c r="Z95" s="808"/>
      <c r="AA95" s="808"/>
      <c r="AB95" s="808"/>
      <c r="AC95" s="808"/>
      <c r="AD95" s="808"/>
      <c r="AE95" s="808"/>
      <c r="AF95" s="808"/>
      <c r="AG95" s="606">
        <f>SUM(AG81:AG94)</f>
        <v>242616666</v>
      </c>
      <c r="AH95" s="808"/>
      <c r="AI95" s="808"/>
      <c r="AJ95" s="808"/>
      <c r="AK95" s="811"/>
      <c r="AL95" s="811"/>
      <c r="AM95" s="800">
        <v>100</v>
      </c>
      <c r="AN95" s="648">
        <v>100</v>
      </c>
    </row>
    <row r="96" spans="1:40" ht="140.25" customHeight="1" x14ac:dyDescent="0.25">
      <c r="A96" s="1161">
        <v>19</v>
      </c>
      <c r="B96" s="1113" t="s">
        <v>642</v>
      </c>
      <c r="C96" s="1113" t="s">
        <v>644</v>
      </c>
      <c r="D96" s="1161">
        <v>2013</v>
      </c>
      <c r="E96" s="1113" t="s">
        <v>449</v>
      </c>
      <c r="F96" s="1113" t="s">
        <v>450</v>
      </c>
      <c r="G96" s="1168">
        <v>15321950000</v>
      </c>
      <c r="H96" s="1113" t="s">
        <v>548</v>
      </c>
      <c r="I96" s="579">
        <v>1</v>
      </c>
      <c r="J96" s="579" t="s">
        <v>472</v>
      </c>
      <c r="K96" s="579" t="s">
        <v>473</v>
      </c>
      <c r="L96" s="579" t="s">
        <v>508</v>
      </c>
      <c r="M96" s="26">
        <v>16500000</v>
      </c>
      <c r="N96" s="579" t="s">
        <v>457</v>
      </c>
      <c r="O96" s="25">
        <v>41353</v>
      </c>
      <c r="P96" s="25">
        <v>41522</v>
      </c>
      <c r="Q96" s="25">
        <v>41522</v>
      </c>
      <c r="R96" s="579" t="s">
        <v>482</v>
      </c>
      <c r="S96" s="26">
        <v>16500000</v>
      </c>
      <c r="T96" s="579" t="s">
        <v>483</v>
      </c>
      <c r="U96" s="26">
        <v>16500000</v>
      </c>
      <c r="V96" s="631"/>
      <c r="W96" s="631">
        <v>3000000</v>
      </c>
      <c r="X96" s="631">
        <v>3000000</v>
      </c>
      <c r="Y96" s="631">
        <v>3000000</v>
      </c>
      <c r="Z96" s="631">
        <v>3000000</v>
      </c>
      <c r="AA96" s="631">
        <v>3000000</v>
      </c>
      <c r="AB96" s="631">
        <v>1500000</v>
      </c>
      <c r="AC96" s="631"/>
      <c r="AD96" s="631"/>
      <c r="AE96" s="631"/>
      <c r="AF96" s="631"/>
      <c r="AG96" s="631">
        <f t="shared" si="5"/>
        <v>16500000</v>
      </c>
      <c r="AH96" s="579" t="s">
        <v>487</v>
      </c>
      <c r="AI96" s="579" t="s">
        <v>674</v>
      </c>
      <c r="AJ96" s="16" t="s">
        <v>461</v>
      </c>
      <c r="AK96" s="1113" t="s">
        <v>450</v>
      </c>
      <c r="AL96" s="1113" t="s">
        <v>733</v>
      </c>
      <c r="AM96" s="16">
        <v>100</v>
      </c>
      <c r="AN96" s="633">
        <f t="shared" si="9"/>
        <v>100</v>
      </c>
    </row>
    <row r="97" spans="1:44" ht="140.25" customHeight="1" x14ac:dyDescent="0.25">
      <c r="A97" s="1157"/>
      <c r="B97" s="1114"/>
      <c r="C97" s="1114"/>
      <c r="D97" s="1157"/>
      <c r="E97" s="1114"/>
      <c r="F97" s="1114"/>
      <c r="G97" s="1169"/>
      <c r="H97" s="1114"/>
      <c r="I97" s="579">
        <f>I96+1</f>
        <v>2</v>
      </c>
      <c r="J97" s="579" t="s">
        <v>488</v>
      </c>
      <c r="K97" s="579" t="s">
        <v>489</v>
      </c>
      <c r="L97" s="579" t="s">
        <v>490</v>
      </c>
      <c r="M97" s="26">
        <v>18150000</v>
      </c>
      <c r="N97" s="579" t="s">
        <v>493</v>
      </c>
      <c r="O97" s="25">
        <v>41359</v>
      </c>
      <c r="P97" s="25">
        <v>45164</v>
      </c>
      <c r="Q97" s="25">
        <v>45164</v>
      </c>
      <c r="R97" s="579" t="s">
        <v>491</v>
      </c>
      <c r="S97" s="26">
        <v>18150000</v>
      </c>
      <c r="T97" s="579" t="s">
        <v>700</v>
      </c>
      <c r="U97" s="27">
        <v>18150000</v>
      </c>
      <c r="V97" s="631"/>
      <c r="W97" s="631">
        <v>3300000</v>
      </c>
      <c r="X97" s="631">
        <v>3300000</v>
      </c>
      <c r="Y97" s="631">
        <v>3300000</v>
      </c>
      <c r="Z97" s="631">
        <v>3300000</v>
      </c>
      <c r="AA97" s="631">
        <v>3300000</v>
      </c>
      <c r="AB97" s="631">
        <v>1650000</v>
      </c>
      <c r="AC97" s="631"/>
      <c r="AD97" s="631"/>
      <c r="AE97" s="631"/>
      <c r="AF97" s="631"/>
      <c r="AG97" s="631">
        <f t="shared" si="5"/>
        <v>18150000</v>
      </c>
      <c r="AH97" s="579" t="s">
        <v>487</v>
      </c>
      <c r="AI97" s="579" t="s">
        <v>674</v>
      </c>
      <c r="AJ97" s="16" t="s">
        <v>461</v>
      </c>
      <c r="AK97" s="1114"/>
      <c r="AL97" s="1114"/>
      <c r="AM97" s="16">
        <v>100</v>
      </c>
      <c r="AN97" s="633">
        <f t="shared" si="9"/>
        <v>100</v>
      </c>
    </row>
    <row r="98" spans="1:44" ht="140.25" customHeight="1" x14ac:dyDescent="0.25">
      <c r="A98" s="1157"/>
      <c r="B98" s="1114"/>
      <c r="C98" s="1114"/>
      <c r="D98" s="1157"/>
      <c r="E98" s="1114"/>
      <c r="F98" s="1114"/>
      <c r="G98" s="1169"/>
      <c r="H98" s="1114"/>
      <c r="I98" s="579">
        <f t="shared" ref="I98:I110" si="10">I97+1</f>
        <v>3</v>
      </c>
      <c r="J98" s="579" t="s">
        <v>494</v>
      </c>
      <c r="K98" s="579" t="s">
        <v>495</v>
      </c>
      <c r="L98" s="579" t="s">
        <v>496</v>
      </c>
      <c r="M98" s="26">
        <v>4950000</v>
      </c>
      <c r="N98" s="579" t="s">
        <v>493</v>
      </c>
      <c r="O98" s="25">
        <v>41359</v>
      </c>
      <c r="P98" s="25">
        <v>41529</v>
      </c>
      <c r="Q98" s="25">
        <v>41529</v>
      </c>
      <c r="R98" s="579" t="s">
        <v>497</v>
      </c>
      <c r="S98" s="26">
        <v>4950000</v>
      </c>
      <c r="T98" s="579" t="s">
        <v>503</v>
      </c>
      <c r="U98" s="27">
        <v>4950000</v>
      </c>
      <c r="V98" s="631"/>
      <c r="W98" s="631">
        <v>900000</v>
      </c>
      <c r="X98" s="631">
        <v>900000</v>
      </c>
      <c r="Y98" s="631">
        <v>900000</v>
      </c>
      <c r="Z98" s="631">
        <v>900000</v>
      </c>
      <c r="AA98" s="631">
        <v>900000</v>
      </c>
      <c r="AB98" s="631">
        <v>450000</v>
      </c>
      <c r="AC98" s="631"/>
      <c r="AD98" s="631"/>
      <c r="AE98" s="631"/>
      <c r="AF98" s="631"/>
      <c r="AG98" s="631">
        <f t="shared" si="5"/>
        <v>4950000</v>
      </c>
      <c r="AH98" s="579" t="s">
        <v>498</v>
      </c>
      <c r="AI98" s="579" t="s">
        <v>674</v>
      </c>
      <c r="AJ98" s="16" t="s">
        <v>461</v>
      </c>
      <c r="AK98" s="1114"/>
      <c r="AL98" s="1114"/>
      <c r="AM98" s="16">
        <v>100</v>
      </c>
      <c r="AN98" s="633">
        <f t="shared" si="9"/>
        <v>100</v>
      </c>
    </row>
    <row r="99" spans="1:44" ht="140.25" customHeight="1" x14ac:dyDescent="0.25">
      <c r="A99" s="1157"/>
      <c r="B99" s="1114"/>
      <c r="C99" s="1114"/>
      <c r="D99" s="1157"/>
      <c r="E99" s="1114"/>
      <c r="F99" s="1114"/>
      <c r="G99" s="1169"/>
      <c r="H99" s="1114"/>
      <c r="I99" s="579">
        <f t="shared" si="10"/>
        <v>4</v>
      </c>
      <c r="J99" s="579" t="s">
        <v>500</v>
      </c>
      <c r="K99" s="579" t="s">
        <v>495</v>
      </c>
      <c r="L99" s="579" t="s">
        <v>496</v>
      </c>
      <c r="M99" s="26">
        <v>3030000</v>
      </c>
      <c r="N99" s="579" t="s">
        <v>501</v>
      </c>
      <c r="O99" s="25">
        <v>41536</v>
      </c>
      <c r="P99" s="25">
        <v>41639</v>
      </c>
      <c r="Q99" s="25">
        <v>41639</v>
      </c>
      <c r="R99" s="579" t="s">
        <v>502</v>
      </c>
      <c r="S99" s="26">
        <v>3270000</v>
      </c>
      <c r="T99" s="579" t="s">
        <v>504</v>
      </c>
      <c r="U99" s="27">
        <v>3030000</v>
      </c>
      <c r="V99" s="631"/>
      <c r="W99" s="631">
        <v>330000</v>
      </c>
      <c r="X99" s="631">
        <v>900000</v>
      </c>
      <c r="Y99" s="631">
        <v>900000</v>
      </c>
      <c r="Z99" s="631">
        <v>900000</v>
      </c>
      <c r="AA99" s="631"/>
      <c r="AB99" s="631"/>
      <c r="AC99" s="631"/>
      <c r="AD99" s="631"/>
      <c r="AE99" s="631"/>
      <c r="AF99" s="631"/>
      <c r="AG99" s="631">
        <f t="shared" si="5"/>
        <v>3030000</v>
      </c>
      <c r="AH99" s="579" t="s">
        <v>505</v>
      </c>
      <c r="AI99" s="579" t="s">
        <v>673</v>
      </c>
      <c r="AJ99" s="16" t="s">
        <v>461</v>
      </c>
      <c r="AK99" s="1114"/>
      <c r="AL99" s="1114"/>
      <c r="AM99" s="16">
        <v>100</v>
      </c>
      <c r="AN99" s="633">
        <f t="shared" si="9"/>
        <v>100</v>
      </c>
    </row>
    <row r="100" spans="1:44" ht="140.25" customHeight="1" x14ac:dyDescent="0.25">
      <c r="A100" s="1157"/>
      <c r="B100" s="1114"/>
      <c r="C100" s="1114"/>
      <c r="D100" s="1157"/>
      <c r="E100" s="1114"/>
      <c r="F100" s="1114"/>
      <c r="G100" s="1169"/>
      <c r="H100" s="1114"/>
      <c r="I100" s="579">
        <f t="shared" si="10"/>
        <v>5</v>
      </c>
      <c r="J100" s="579" t="s">
        <v>506</v>
      </c>
      <c r="K100" s="579" t="s">
        <v>473</v>
      </c>
      <c r="L100" s="579" t="s">
        <v>507</v>
      </c>
      <c r="M100" s="26">
        <v>11400000</v>
      </c>
      <c r="N100" s="579" t="s">
        <v>510</v>
      </c>
      <c r="O100" s="631" t="s">
        <v>509</v>
      </c>
      <c r="P100" s="25">
        <v>41639</v>
      </c>
      <c r="Q100" s="25">
        <v>41639</v>
      </c>
      <c r="R100" s="579" t="s">
        <v>512</v>
      </c>
      <c r="S100" s="26">
        <v>11400000</v>
      </c>
      <c r="T100" s="579" t="s">
        <v>513</v>
      </c>
      <c r="U100" s="26">
        <v>11400000</v>
      </c>
      <c r="V100" s="631"/>
      <c r="W100" s="812">
        <v>2400000</v>
      </c>
      <c r="X100" s="631">
        <v>3000000</v>
      </c>
      <c r="Y100" s="631">
        <v>3000000</v>
      </c>
      <c r="Z100" s="631">
        <v>3000000</v>
      </c>
      <c r="AA100" s="631"/>
      <c r="AB100" s="631"/>
      <c r="AC100" s="631"/>
      <c r="AD100" s="631"/>
      <c r="AE100" s="631"/>
      <c r="AF100" s="631"/>
      <c r="AG100" s="631">
        <f t="shared" si="5"/>
        <v>11400000</v>
      </c>
      <c r="AH100" s="579" t="s">
        <v>505</v>
      </c>
      <c r="AI100" s="579" t="s">
        <v>675</v>
      </c>
      <c r="AJ100" s="16" t="s">
        <v>461</v>
      </c>
      <c r="AK100" s="1114"/>
      <c r="AL100" s="1114"/>
      <c r="AM100" s="16">
        <v>100</v>
      </c>
      <c r="AN100" s="633">
        <f t="shared" si="9"/>
        <v>100</v>
      </c>
    </row>
    <row r="101" spans="1:44" ht="140.25" customHeight="1" x14ac:dyDescent="0.25">
      <c r="A101" s="1157"/>
      <c r="B101" s="1114"/>
      <c r="C101" s="1114"/>
      <c r="D101" s="1157"/>
      <c r="E101" s="1114"/>
      <c r="F101" s="1114"/>
      <c r="G101" s="1169"/>
      <c r="H101" s="1114"/>
      <c r="I101" s="579">
        <f t="shared" si="10"/>
        <v>6</v>
      </c>
      <c r="J101" s="579" t="s">
        <v>519</v>
      </c>
      <c r="K101" s="579" t="s">
        <v>514</v>
      </c>
      <c r="L101" s="579" t="s">
        <v>511</v>
      </c>
      <c r="M101" s="26">
        <v>13970000</v>
      </c>
      <c r="N101" s="579" t="s">
        <v>516</v>
      </c>
      <c r="O101" s="25">
        <v>41594</v>
      </c>
      <c r="P101" s="25">
        <v>41610</v>
      </c>
      <c r="Q101" s="25">
        <v>41610</v>
      </c>
      <c r="R101" s="579" t="s">
        <v>515</v>
      </c>
      <c r="S101" s="631">
        <v>13970000</v>
      </c>
      <c r="T101" s="579" t="s">
        <v>701</v>
      </c>
      <c r="U101" s="27">
        <v>13970000</v>
      </c>
      <c r="V101" s="631"/>
      <c r="W101" s="631">
        <v>13970000</v>
      </c>
      <c r="X101" s="631"/>
      <c r="Y101" s="631"/>
      <c r="Z101" s="631"/>
      <c r="AA101" s="631"/>
      <c r="AB101" s="631"/>
      <c r="AC101" s="631"/>
      <c r="AD101" s="631"/>
      <c r="AE101" s="631"/>
      <c r="AF101" s="631"/>
      <c r="AG101" s="631">
        <f t="shared" si="5"/>
        <v>13970000</v>
      </c>
      <c r="AH101" s="579" t="s">
        <v>505</v>
      </c>
      <c r="AI101" s="579" t="s">
        <v>492</v>
      </c>
      <c r="AJ101" s="16" t="s">
        <v>461</v>
      </c>
      <c r="AK101" s="1114"/>
      <c r="AL101" s="1114"/>
      <c r="AM101" s="16">
        <v>100</v>
      </c>
      <c r="AN101" s="633">
        <f t="shared" si="9"/>
        <v>100</v>
      </c>
    </row>
    <row r="102" spans="1:44" ht="168.75" customHeight="1" x14ac:dyDescent="0.25">
      <c r="A102" s="1157"/>
      <c r="B102" s="1114"/>
      <c r="C102" s="1114"/>
      <c r="D102" s="1157"/>
      <c r="E102" s="1114"/>
      <c r="F102" s="1114"/>
      <c r="G102" s="1169"/>
      <c r="H102" s="1114"/>
      <c r="I102" s="579">
        <f t="shared" si="10"/>
        <v>7</v>
      </c>
      <c r="J102" s="579" t="s">
        <v>618</v>
      </c>
      <c r="K102" s="579" t="s">
        <v>536</v>
      </c>
      <c r="L102" s="579" t="s">
        <v>544</v>
      </c>
      <c r="M102" s="26">
        <v>925596000</v>
      </c>
      <c r="N102" s="579" t="s">
        <v>335</v>
      </c>
      <c r="O102" s="25">
        <v>41547</v>
      </c>
      <c r="P102" s="25">
        <v>41638</v>
      </c>
      <c r="Q102" s="25">
        <v>41638</v>
      </c>
      <c r="R102" s="579" t="s">
        <v>545</v>
      </c>
      <c r="S102" s="26">
        <v>200000000</v>
      </c>
      <c r="T102" s="579" t="s">
        <v>546</v>
      </c>
      <c r="U102" s="26">
        <v>200000000</v>
      </c>
      <c r="V102" s="631"/>
      <c r="W102" s="631">
        <v>200000000</v>
      </c>
      <c r="X102" s="631"/>
      <c r="Y102" s="631"/>
      <c r="Z102" s="631"/>
      <c r="AA102" s="631"/>
      <c r="AB102" s="631"/>
      <c r="AC102" s="631"/>
      <c r="AD102" s="631"/>
      <c r="AE102" s="631"/>
      <c r="AF102" s="631"/>
      <c r="AG102" s="631">
        <f t="shared" si="5"/>
        <v>200000000</v>
      </c>
      <c r="AH102" s="636" t="s">
        <v>547</v>
      </c>
      <c r="AI102" s="579" t="s">
        <v>492</v>
      </c>
      <c r="AJ102" s="579" t="s">
        <v>549</v>
      </c>
      <c r="AK102" s="1114"/>
      <c r="AL102" s="1114"/>
      <c r="AM102" s="16">
        <v>100</v>
      </c>
      <c r="AN102" s="633">
        <v>100</v>
      </c>
    </row>
    <row r="103" spans="1:44" ht="168.75" customHeight="1" x14ac:dyDescent="0.25">
      <c r="A103" s="1157"/>
      <c r="B103" s="1114"/>
      <c r="C103" s="1114"/>
      <c r="D103" s="1157"/>
      <c r="E103" s="1114"/>
      <c r="F103" s="1114"/>
      <c r="G103" s="1169"/>
      <c r="H103" s="1114"/>
      <c r="I103" s="579">
        <f t="shared" si="10"/>
        <v>8</v>
      </c>
      <c r="J103" s="579" t="s">
        <v>550</v>
      </c>
      <c r="K103" s="579" t="s">
        <v>551</v>
      </c>
      <c r="L103" s="579" t="s">
        <v>557</v>
      </c>
      <c r="M103" s="26">
        <v>18150000</v>
      </c>
      <c r="N103" s="579" t="s">
        <v>552</v>
      </c>
      <c r="O103" s="25" t="s">
        <v>553</v>
      </c>
      <c r="P103" s="25">
        <v>41522</v>
      </c>
      <c r="Q103" s="25">
        <v>41524</v>
      </c>
      <c r="R103" s="579" t="s">
        <v>554</v>
      </c>
      <c r="S103" s="26">
        <v>18150000</v>
      </c>
      <c r="T103" s="26" t="s">
        <v>702</v>
      </c>
      <c r="U103" s="813">
        <v>18150000</v>
      </c>
      <c r="V103" s="631"/>
      <c r="W103" s="631">
        <v>3300000</v>
      </c>
      <c r="X103" s="631">
        <v>3300000</v>
      </c>
      <c r="Y103" s="631">
        <v>3300000</v>
      </c>
      <c r="Z103" s="631">
        <v>3300000</v>
      </c>
      <c r="AA103" s="631">
        <v>3300000</v>
      </c>
      <c r="AB103" s="631">
        <v>1650000</v>
      </c>
      <c r="AC103" s="631"/>
      <c r="AD103" s="631"/>
      <c r="AE103" s="631"/>
      <c r="AF103" s="631"/>
      <c r="AG103" s="631">
        <f t="shared" si="5"/>
        <v>18150000</v>
      </c>
      <c r="AH103" s="579" t="s">
        <v>237</v>
      </c>
      <c r="AI103" s="579" t="s">
        <v>561</v>
      </c>
      <c r="AJ103" s="579" t="s">
        <v>461</v>
      </c>
      <c r="AK103" s="1114"/>
      <c r="AL103" s="1114"/>
      <c r="AM103" s="16">
        <v>100</v>
      </c>
      <c r="AN103" s="633">
        <f t="shared" si="9"/>
        <v>100</v>
      </c>
    </row>
    <row r="104" spans="1:44" ht="168.75" customHeight="1" x14ac:dyDescent="0.25">
      <c r="A104" s="1157"/>
      <c r="B104" s="1114"/>
      <c r="C104" s="1114"/>
      <c r="D104" s="1157"/>
      <c r="E104" s="1114"/>
      <c r="F104" s="1114"/>
      <c r="G104" s="1169"/>
      <c r="H104" s="1114"/>
      <c r="I104" s="579">
        <f t="shared" si="10"/>
        <v>9</v>
      </c>
      <c r="J104" s="579" t="s">
        <v>555</v>
      </c>
      <c r="K104" s="579" t="s">
        <v>551</v>
      </c>
      <c r="L104" s="579" t="s">
        <v>556</v>
      </c>
      <c r="M104" s="26">
        <v>12540000</v>
      </c>
      <c r="N104" s="579" t="s">
        <v>558</v>
      </c>
      <c r="O104" s="25">
        <v>41523</v>
      </c>
      <c r="P104" s="25">
        <v>41639</v>
      </c>
      <c r="Q104" s="25">
        <v>41639</v>
      </c>
      <c r="R104" s="579" t="s">
        <v>559</v>
      </c>
      <c r="S104" s="26">
        <v>12540000</v>
      </c>
      <c r="T104" s="579" t="s">
        <v>560</v>
      </c>
      <c r="U104" s="26">
        <v>12540000</v>
      </c>
      <c r="V104" s="631"/>
      <c r="W104" s="631">
        <v>2640000</v>
      </c>
      <c r="X104" s="631">
        <v>3300000</v>
      </c>
      <c r="Y104" s="631">
        <v>3300000</v>
      </c>
      <c r="Z104" s="631">
        <v>3300000</v>
      </c>
      <c r="AA104" s="631"/>
      <c r="AB104" s="631"/>
      <c r="AC104" s="631"/>
      <c r="AD104" s="631"/>
      <c r="AE104" s="631"/>
      <c r="AF104" s="631"/>
      <c r="AG104" s="631">
        <f t="shared" si="5"/>
        <v>12540000</v>
      </c>
      <c r="AH104" s="636" t="s">
        <v>237</v>
      </c>
      <c r="AI104" s="579" t="s">
        <v>562</v>
      </c>
      <c r="AJ104" s="579" t="s">
        <v>461</v>
      </c>
      <c r="AK104" s="1114"/>
      <c r="AL104" s="1114"/>
      <c r="AM104" s="16">
        <v>100</v>
      </c>
      <c r="AN104" s="633">
        <f t="shared" si="9"/>
        <v>100</v>
      </c>
    </row>
    <row r="105" spans="1:44" ht="120" customHeight="1" x14ac:dyDescent="0.25">
      <c r="A105" s="1157"/>
      <c r="B105" s="1114"/>
      <c r="C105" s="1114"/>
      <c r="D105" s="1157"/>
      <c r="E105" s="1114"/>
      <c r="F105" s="1114"/>
      <c r="G105" s="1169"/>
      <c r="H105" s="1114"/>
      <c r="I105" s="579">
        <f t="shared" si="10"/>
        <v>10</v>
      </c>
      <c r="J105" s="579" t="s">
        <v>563</v>
      </c>
      <c r="K105" s="579" t="s">
        <v>564</v>
      </c>
      <c r="L105" s="579" t="s">
        <v>565</v>
      </c>
      <c r="M105" s="26">
        <v>10900000</v>
      </c>
      <c r="N105" s="579" t="s">
        <v>566</v>
      </c>
      <c r="O105" s="25">
        <v>41529</v>
      </c>
      <c r="P105" s="25">
        <v>41639</v>
      </c>
      <c r="Q105" s="25">
        <v>41639</v>
      </c>
      <c r="R105" s="579" t="s">
        <v>567</v>
      </c>
      <c r="S105" s="26">
        <v>10900000</v>
      </c>
      <c r="T105" s="579" t="s">
        <v>568</v>
      </c>
      <c r="U105" s="27">
        <v>10900000</v>
      </c>
      <c r="V105" s="26"/>
      <c r="W105" s="26">
        <v>3000000</v>
      </c>
      <c r="X105" s="26">
        <v>3000000</v>
      </c>
      <c r="Y105" s="26">
        <v>3000000</v>
      </c>
      <c r="Z105" s="26">
        <v>1900000</v>
      </c>
      <c r="AA105" s="26"/>
      <c r="AB105" s="26"/>
      <c r="AC105" s="26"/>
      <c r="AD105" s="26"/>
      <c r="AE105" s="26"/>
      <c r="AF105" s="26"/>
      <c r="AG105" s="26">
        <f t="shared" si="5"/>
        <v>10900000</v>
      </c>
      <c r="AH105" s="579" t="s">
        <v>237</v>
      </c>
      <c r="AI105" s="579" t="s">
        <v>562</v>
      </c>
      <c r="AJ105" s="579" t="s">
        <v>461</v>
      </c>
      <c r="AK105" s="1114"/>
      <c r="AL105" s="1114"/>
      <c r="AM105" s="16">
        <v>100</v>
      </c>
      <c r="AN105" s="633">
        <f t="shared" si="9"/>
        <v>100</v>
      </c>
      <c r="AO105" s="3"/>
      <c r="AP105" s="3"/>
      <c r="AQ105" s="3"/>
      <c r="AR105" s="3"/>
    </row>
    <row r="106" spans="1:44" ht="120" customHeight="1" x14ac:dyDescent="0.25">
      <c r="A106" s="1157"/>
      <c r="B106" s="1114"/>
      <c r="C106" s="1114"/>
      <c r="D106" s="1157"/>
      <c r="E106" s="1114"/>
      <c r="F106" s="1114"/>
      <c r="G106" s="1169"/>
      <c r="H106" s="1114"/>
      <c r="I106" s="579">
        <f t="shared" si="10"/>
        <v>11</v>
      </c>
      <c r="J106" s="579" t="s">
        <v>593</v>
      </c>
      <c r="K106" s="579" t="s">
        <v>594</v>
      </c>
      <c r="L106" s="579" t="s">
        <v>595</v>
      </c>
      <c r="M106" s="26">
        <v>18150000</v>
      </c>
      <c r="N106" s="579" t="s">
        <v>552</v>
      </c>
      <c r="O106" s="25">
        <v>41353</v>
      </c>
      <c r="P106" s="25">
        <v>41517</v>
      </c>
      <c r="Q106" s="25">
        <v>41517</v>
      </c>
      <c r="R106" s="579" t="s">
        <v>596</v>
      </c>
      <c r="S106" s="26">
        <v>18150000</v>
      </c>
      <c r="T106" s="579" t="s">
        <v>597</v>
      </c>
      <c r="U106" s="27">
        <v>18150000</v>
      </c>
      <c r="V106" s="26"/>
      <c r="W106" s="26">
        <v>3300000</v>
      </c>
      <c r="X106" s="26">
        <v>3300000</v>
      </c>
      <c r="Y106" s="26">
        <v>3300000</v>
      </c>
      <c r="Z106" s="26">
        <v>3300000</v>
      </c>
      <c r="AA106" s="26">
        <v>3300000</v>
      </c>
      <c r="AB106" s="26">
        <v>1650000</v>
      </c>
      <c r="AC106" s="26"/>
      <c r="AD106" s="26"/>
      <c r="AE106" s="26"/>
      <c r="AF106" s="26"/>
      <c r="AG106" s="26">
        <f t="shared" si="5"/>
        <v>18150000</v>
      </c>
      <c r="AH106" s="579" t="s">
        <v>599</v>
      </c>
      <c r="AI106" s="579" t="s">
        <v>600</v>
      </c>
      <c r="AJ106" s="579" t="s">
        <v>598</v>
      </c>
      <c r="AK106" s="1114"/>
      <c r="AL106" s="1114"/>
      <c r="AM106" s="16">
        <v>100</v>
      </c>
      <c r="AN106" s="633">
        <f t="shared" si="9"/>
        <v>100</v>
      </c>
      <c r="AO106" s="3"/>
      <c r="AP106" s="3"/>
      <c r="AQ106" s="3"/>
      <c r="AR106" s="3"/>
    </row>
    <row r="107" spans="1:44" ht="120" customHeight="1" x14ac:dyDescent="0.25">
      <c r="A107" s="1157"/>
      <c r="B107" s="1114"/>
      <c r="C107" s="1114"/>
      <c r="D107" s="1157"/>
      <c r="E107" s="1114"/>
      <c r="F107" s="1114"/>
      <c r="G107" s="1169"/>
      <c r="H107" s="1114"/>
      <c r="I107" s="579">
        <f t="shared" si="10"/>
        <v>12</v>
      </c>
      <c r="J107" s="579" t="s">
        <v>601</v>
      </c>
      <c r="K107" s="579" t="s">
        <v>564</v>
      </c>
      <c r="L107" s="579" t="s">
        <v>565</v>
      </c>
      <c r="M107" s="26">
        <v>16500000</v>
      </c>
      <c r="N107" s="579" t="s">
        <v>552</v>
      </c>
      <c r="O107" s="25">
        <v>41359</v>
      </c>
      <c r="P107" s="25">
        <v>41496</v>
      </c>
      <c r="Q107" s="25">
        <v>41496</v>
      </c>
      <c r="R107" s="579" t="s">
        <v>602</v>
      </c>
      <c r="S107" s="26">
        <v>16500000</v>
      </c>
      <c r="T107" s="579" t="s">
        <v>609</v>
      </c>
      <c r="U107" s="27">
        <v>16500000</v>
      </c>
      <c r="V107" s="26"/>
      <c r="W107" s="26">
        <v>3000000</v>
      </c>
      <c r="X107" s="26">
        <v>3000000</v>
      </c>
      <c r="Y107" s="26">
        <v>3000000</v>
      </c>
      <c r="Z107" s="26">
        <v>3000000</v>
      </c>
      <c r="AA107" s="26">
        <v>3000000</v>
      </c>
      <c r="AB107" s="26">
        <v>1500000</v>
      </c>
      <c r="AC107" s="26"/>
      <c r="AD107" s="26"/>
      <c r="AE107" s="26"/>
      <c r="AF107" s="26"/>
      <c r="AG107" s="26">
        <f t="shared" si="5"/>
        <v>16500000</v>
      </c>
      <c r="AH107" s="579" t="s">
        <v>237</v>
      </c>
      <c r="AI107" s="579" t="s">
        <v>600</v>
      </c>
      <c r="AJ107" s="579" t="s">
        <v>603</v>
      </c>
      <c r="AK107" s="1114"/>
      <c r="AL107" s="1114"/>
      <c r="AM107" s="16">
        <v>100</v>
      </c>
      <c r="AN107" s="633">
        <f t="shared" si="9"/>
        <v>100</v>
      </c>
      <c r="AO107" s="3"/>
      <c r="AP107" s="3"/>
      <c r="AQ107" s="3"/>
      <c r="AR107" s="3"/>
    </row>
    <row r="108" spans="1:44" ht="120" customHeight="1" x14ac:dyDescent="0.25">
      <c r="A108" s="1157"/>
      <c r="B108" s="1114"/>
      <c r="C108" s="1114"/>
      <c r="D108" s="1157"/>
      <c r="E108" s="1114"/>
      <c r="F108" s="1114"/>
      <c r="G108" s="1169"/>
      <c r="H108" s="1114"/>
      <c r="I108" s="579">
        <f t="shared" si="10"/>
        <v>13</v>
      </c>
      <c r="J108" s="579" t="s">
        <v>604</v>
      </c>
      <c r="K108" s="579" t="s">
        <v>605</v>
      </c>
      <c r="L108" s="579" t="s">
        <v>606</v>
      </c>
      <c r="M108" s="26">
        <v>4950000</v>
      </c>
      <c r="N108" s="579" t="s">
        <v>552</v>
      </c>
      <c r="O108" s="25" t="s">
        <v>607</v>
      </c>
      <c r="P108" s="25">
        <v>41528</v>
      </c>
      <c r="Q108" s="25">
        <v>41528</v>
      </c>
      <c r="R108" s="579" t="s">
        <v>608</v>
      </c>
      <c r="S108" s="26">
        <v>4950000</v>
      </c>
      <c r="T108" s="579" t="s">
        <v>610</v>
      </c>
      <c r="U108" s="27">
        <v>4950000</v>
      </c>
      <c r="V108" s="26"/>
      <c r="W108" s="26">
        <v>900000</v>
      </c>
      <c r="X108" s="26">
        <v>900000</v>
      </c>
      <c r="Y108" s="26">
        <v>900000</v>
      </c>
      <c r="Z108" s="26">
        <v>900000</v>
      </c>
      <c r="AA108" s="26">
        <v>900000</v>
      </c>
      <c r="AB108" s="26">
        <v>450000</v>
      </c>
      <c r="AC108" s="26"/>
      <c r="AD108" s="26"/>
      <c r="AE108" s="26"/>
      <c r="AF108" s="26"/>
      <c r="AG108" s="26">
        <f t="shared" si="5"/>
        <v>4950000</v>
      </c>
      <c r="AH108" s="579" t="s">
        <v>237</v>
      </c>
      <c r="AI108" s="579" t="s">
        <v>600</v>
      </c>
      <c r="AJ108" s="579"/>
      <c r="AK108" s="1114"/>
      <c r="AL108" s="1114"/>
      <c r="AM108" s="16">
        <v>100</v>
      </c>
      <c r="AN108" s="633">
        <f t="shared" si="9"/>
        <v>100</v>
      </c>
      <c r="AO108" s="3"/>
      <c r="AP108" s="3"/>
      <c r="AQ108" s="3"/>
      <c r="AR108" s="3"/>
    </row>
    <row r="109" spans="1:44" ht="120" customHeight="1" x14ac:dyDescent="0.25">
      <c r="A109" s="1157"/>
      <c r="B109" s="1114"/>
      <c r="C109" s="1114"/>
      <c r="D109" s="1157"/>
      <c r="E109" s="1114"/>
      <c r="F109" s="1114"/>
      <c r="G109" s="1169"/>
      <c r="H109" s="1114"/>
      <c r="I109" s="579">
        <f t="shared" si="10"/>
        <v>14</v>
      </c>
      <c r="J109" s="579" t="s">
        <v>611</v>
      </c>
      <c r="K109" s="579" t="s">
        <v>605</v>
      </c>
      <c r="L109" s="579" t="s">
        <v>606</v>
      </c>
      <c r="M109" s="26">
        <v>3030000</v>
      </c>
      <c r="N109" s="579" t="s">
        <v>612</v>
      </c>
      <c r="O109" s="25">
        <v>41536</v>
      </c>
      <c r="P109" s="25">
        <v>41639</v>
      </c>
      <c r="Q109" s="25">
        <v>41639</v>
      </c>
      <c r="R109" s="636" t="s">
        <v>783</v>
      </c>
      <c r="S109" s="26">
        <v>3270000</v>
      </c>
      <c r="T109" s="814" t="s">
        <v>784</v>
      </c>
      <c r="U109" s="27">
        <v>3030000</v>
      </c>
      <c r="V109" s="26"/>
      <c r="W109" s="26">
        <v>330000</v>
      </c>
      <c r="X109" s="26">
        <v>900000</v>
      </c>
      <c r="Y109" s="26">
        <v>900000</v>
      </c>
      <c r="Z109" s="26">
        <v>900000</v>
      </c>
      <c r="AA109" s="26"/>
      <c r="AB109" s="26"/>
      <c r="AC109" s="26"/>
      <c r="AD109" s="26"/>
      <c r="AE109" s="26"/>
      <c r="AF109" s="26"/>
      <c r="AG109" s="26">
        <f t="shared" si="5"/>
        <v>3030000</v>
      </c>
      <c r="AH109" s="579" t="s">
        <v>237</v>
      </c>
      <c r="AI109" s="579" t="s">
        <v>613</v>
      </c>
      <c r="AJ109" s="579"/>
      <c r="AK109" s="1114"/>
      <c r="AL109" s="1114"/>
      <c r="AM109" s="16">
        <v>100</v>
      </c>
      <c r="AN109" s="633">
        <f t="shared" si="9"/>
        <v>100</v>
      </c>
      <c r="AO109" s="3"/>
      <c r="AP109" s="3"/>
      <c r="AQ109" s="3"/>
      <c r="AR109" s="3"/>
    </row>
    <row r="110" spans="1:44" ht="120" customHeight="1" x14ac:dyDescent="0.25">
      <c r="A110" s="1157"/>
      <c r="B110" s="1115"/>
      <c r="C110" s="1115"/>
      <c r="D110" s="1162"/>
      <c r="E110" s="1115"/>
      <c r="F110" s="1115"/>
      <c r="G110" s="1170"/>
      <c r="H110" s="1115"/>
      <c r="I110" s="579">
        <f t="shared" si="10"/>
        <v>15</v>
      </c>
      <c r="J110" s="579" t="s">
        <v>614</v>
      </c>
      <c r="K110" s="579" t="s">
        <v>594</v>
      </c>
      <c r="L110" s="579" t="s">
        <v>595</v>
      </c>
      <c r="M110" s="26">
        <v>12540000</v>
      </c>
      <c r="N110" s="579" t="s">
        <v>615</v>
      </c>
      <c r="O110" s="25" t="s">
        <v>616</v>
      </c>
      <c r="P110" s="25">
        <v>41639</v>
      </c>
      <c r="Q110" s="25">
        <v>41639</v>
      </c>
      <c r="R110" s="579" t="s">
        <v>781</v>
      </c>
      <c r="S110" s="26">
        <v>12540000</v>
      </c>
      <c r="T110" s="579" t="s">
        <v>782</v>
      </c>
      <c r="U110" s="27">
        <v>12540000</v>
      </c>
      <c r="V110" s="26"/>
      <c r="W110" s="26">
        <v>3300000</v>
      </c>
      <c r="X110" s="26">
        <v>3300000</v>
      </c>
      <c r="Y110" s="26">
        <v>3300000</v>
      </c>
      <c r="Z110" s="26">
        <v>2640000</v>
      </c>
      <c r="AA110" s="26"/>
      <c r="AB110" s="26"/>
      <c r="AC110" s="26"/>
      <c r="AD110" s="26"/>
      <c r="AE110" s="26"/>
      <c r="AF110" s="26"/>
      <c r="AG110" s="26">
        <f t="shared" si="5"/>
        <v>12540000</v>
      </c>
      <c r="AH110" s="579" t="s">
        <v>237</v>
      </c>
      <c r="AI110" s="579" t="s">
        <v>617</v>
      </c>
      <c r="AJ110" s="579"/>
      <c r="AK110" s="1115"/>
      <c r="AL110" s="1115"/>
      <c r="AM110" s="16">
        <v>100</v>
      </c>
      <c r="AN110" s="633">
        <f t="shared" si="9"/>
        <v>100</v>
      </c>
      <c r="AO110" s="3"/>
      <c r="AP110" s="3"/>
      <c r="AQ110" s="3"/>
      <c r="AR110" s="3"/>
    </row>
    <row r="111" spans="1:44" ht="16.5" customHeight="1" x14ac:dyDescent="0.25">
      <c r="A111" s="1162"/>
      <c r="B111" s="624"/>
      <c r="C111" s="626"/>
      <c r="D111" s="626"/>
      <c r="E111" s="624"/>
      <c r="F111" s="624"/>
      <c r="G111" s="815"/>
      <c r="H111" s="624"/>
      <c r="I111" s="579"/>
      <c r="J111" s="579"/>
      <c r="K111" s="579"/>
      <c r="L111" s="579"/>
      <c r="M111" s="26">
        <f>SUM(M96:M110)</f>
        <v>1090356000</v>
      </c>
      <c r="N111" s="579"/>
      <c r="O111" s="25"/>
      <c r="P111" s="25"/>
      <c r="Q111" s="25"/>
      <c r="R111" s="579"/>
      <c r="S111" s="26">
        <f>SUM(S96:S110)</f>
        <v>365240000</v>
      </c>
      <c r="T111" s="579"/>
      <c r="U111" s="26">
        <f>SUM(U96:U110)</f>
        <v>364760000</v>
      </c>
      <c r="V111" s="26"/>
      <c r="W111" s="26"/>
      <c r="X111" s="26"/>
      <c r="Y111" s="26"/>
      <c r="Z111" s="26"/>
      <c r="AA111" s="26"/>
      <c r="AB111" s="26"/>
      <c r="AC111" s="26"/>
      <c r="AD111" s="26"/>
      <c r="AE111" s="26"/>
      <c r="AF111" s="26"/>
      <c r="AG111" s="26">
        <f>SUM(AG96:AG110)</f>
        <v>364760000</v>
      </c>
      <c r="AH111" s="579"/>
      <c r="AI111" s="579"/>
      <c r="AJ111" s="579"/>
      <c r="AK111" s="816"/>
      <c r="AL111" s="816"/>
      <c r="AM111" s="579">
        <f>SUM(AM96:AM110)/15</f>
        <v>100</v>
      </c>
      <c r="AN111" s="579">
        <f>SUM(AN96:AN110)/15</f>
        <v>100</v>
      </c>
      <c r="AO111" s="3"/>
      <c r="AP111" s="3"/>
      <c r="AQ111" s="3"/>
      <c r="AR111" s="3"/>
    </row>
    <row r="112" spans="1:44" s="21" customFormat="1" ht="90.75" customHeight="1" x14ac:dyDescent="0.25">
      <c r="A112" s="649">
        <v>20</v>
      </c>
      <c r="B112" s="649" t="s">
        <v>642</v>
      </c>
      <c r="C112" s="649" t="s">
        <v>645</v>
      </c>
      <c r="D112" s="649">
        <v>2013</v>
      </c>
      <c r="E112" s="183" t="s">
        <v>474</v>
      </c>
      <c r="F112" s="183" t="s">
        <v>475</v>
      </c>
      <c r="G112" s="737">
        <v>252630000</v>
      </c>
      <c r="H112" s="183" t="s">
        <v>476</v>
      </c>
      <c r="I112" s="649">
        <v>1</v>
      </c>
      <c r="J112" s="817"/>
      <c r="K112" s="183" t="s">
        <v>478</v>
      </c>
      <c r="L112" s="817"/>
      <c r="M112" s="818">
        <v>252630000</v>
      </c>
      <c r="N112" s="649" t="s">
        <v>329</v>
      </c>
      <c r="O112" s="736">
        <v>41102</v>
      </c>
      <c r="P112" s="736">
        <v>41334</v>
      </c>
      <c r="Q112" s="183" t="s">
        <v>479</v>
      </c>
      <c r="R112" s="183" t="s">
        <v>477</v>
      </c>
      <c r="S112" s="735">
        <v>70000000</v>
      </c>
      <c r="T112" s="183" t="s">
        <v>703</v>
      </c>
      <c r="U112" s="738">
        <v>70000000</v>
      </c>
      <c r="V112" s="819"/>
      <c r="W112" s="737">
        <v>70000000</v>
      </c>
      <c r="X112" s="819"/>
      <c r="Y112" s="819"/>
      <c r="Z112" s="819"/>
      <c r="AA112" s="819"/>
      <c r="AB112" s="819"/>
      <c r="AC112" s="819"/>
      <c r="AD112" s="819"/>
      <c r="AE112" s="819"/>
      <c r="AF112" s="819"/>
      <c r="AG112" s="737">
        <f t="shared" si="5"/>
        <v>70000000</v>
      </c>
      <c r="AH112" s="649" t="s">
        <v>479</v>
      </c>
      <c r="AI112" s="183" t="s">
        <v>480</v>
      </c>
      <c r="AJ112" s="183" t="s">
        <v>481</v>
      </c>
      <c r="AK112" s="183" t="s">
        <v>475</v>
      </c>
      <c r="AL112" s="183" t="s">
        <v>714</v>
      </c>
      <c r="AM112" s="649">
        <v>100</v>
      </c>
      <c r="AN112" s="656">
        <f>(AG112*100)/U112</f>
        <v>100</v>
      </c>
    </row>
    <row r="113" spans="1:41" ht="153" customHeight="1" x14ac:dyDescent="0.25">
      <c r="A113" s="190">
        <v>21</v>
      </c>
      <c r="B113" s="190" t="s">
        <v>642</v>
      </c>
      <c r="C113" s="190" t="s">
        <v>641</v>
      </c>
      <c r="D113" s="190">
        <v>2013</v>
      </c>
      <c r="E113" s="585" t="s">
        <v>646</v>
      </c>
      <c r="F113" s="585" t="s">
        <v>584</v>
      </c>
      <c r="G113" s="202">
        <v>599600000</v>
      </c>
      <c r="H113" s="585" t="s">
        <v>717</v>
      </c>
      <c r="I113" s="585">
        <v>1</v>
      </c>
      <c r="J113" s="585" t="s">
        <v>585</v>
      </c>
      <c r="K113" s="190" t="s">
        <v>586</v>
      </c>
      <c r="L113" s="585" t="s">
        <v>587</v>
      </c>
      <c r="M113" s="202" t="s">
        <v>588</v>
      </c>
      <c r="N113" s="190" t="s">
        <v>350</v>
      </c>
      <c r="O113" s="658">
        <v>41443</v>
      </c>
      <c r="P113" s="658">
        <v>41564</v>
      </c>
      <c r="Q113" s="658">
        <v>41564</v>
      </c>
      <c r="R113" s="585" t="s">
        <v>589</v>
      </c>
      <c r="S113" s="657">
        <v>31535000</v>
      </c>
      <c r="T113" s="585" t="s">
        <v>590</v>
      </c>
      <c r="U113" s="820">
        <v>31535000</v>
      </c>
      <c r="V113" s="657"/>
      <c r="W113" s="657">
        <v>31535000</v>
      </c>
      <c r="X113" s="657"/>
      <c r="Y113" s="657"/>
      <c r="Z113" s="657"/>
      <c r="AA113" s="657"/>
      <c r="AB113" s="657"/>
      <c r="AC113" s="657"/>
      <c r="AD113" s="657"/>
      <c r="AE113" s="657"/>
      <c r="AF113" s="657"/>
      <c r="AG113" s="657">
        <f t="shared" si="5"/>
        <v>31535000</v>
      </c>
      <c r="AH113" s="585" t="s">
        <v>237</v>
      </c>
      <c r="AI113" s="585" t="s">
        <v>591</v>
      </c>
      <c r="AJ113" s="585" t="s">
        <v>592</v>
      </c>
      <c r="AK113" s="585" t="s">
        <v>587</v>
      </c>
      <c r="AL113" s="585" t="s">
        <v>793</v>
      </c>
      <c r="AM113" s="190">
        <v>100</v>
      </c>
      <c r="AN113" s="664">
        <f>(AG113*100)/U113</f>
        <v>100</v>
      </c>
    </row>
    <row r="114" spans="1:41" s="12" customFormat="1" ht="185.25" customHeight="1" x14ac:dyDescent="0.25">
      <c r="A114" s="821">
        <v>22</v>
      </c>
      <c r="B114" s="821" t="s">
        <v>642</v>
      </c>
      <c r="C114" s="821" t="s">
        <v>641</v>
      </c>
      <c r="D114" s="821">
        <v>2013</v>
      </c>
      <c r="E114" s="822" t="s">
        <v>451</v>
      </c>
      <c r="F114" s="822" t="s">
        <v>704</v>
      </c>
      <c r="G114" s="823">
        <v>257405600</v>
      </c>
      <c r="H114" s="822" t="s">
        <v>718</v>
      </c>
      <c r="I114" s="822">
        <v>1</v>
      </c>
      <c r="J114" s="822" t="s">
        <v>705</v>
      </c>
      <c r="K114" s="822" t="s">
        <v>706</v>
      </c>
      <c r="L114" s="822" t="s">
        <v>707</v>
      </c>
      <c r="M114" s="824" t="s">
        <v>708</v>
      </c>
      <c r="N114" s="822" t="s">
        <v>709</v>
      </c>
      <c r="O114" s="825">
        <v>41586</v>
      </c>
      <c r="P114" s="825">
        <v>41639</v>
      </c>
      <c r="Q114" s="825">
        <v>41789</v>
      </c>
      <c r="R114" s="822" t="s">
        <v>710</v>
      </c>
      <c r="S114" s="826">
        <v>94040000</v>
      </c>
      <c r="T114" s="822" t="s">
        <v>711</v>
      </c>
      <c r="U114" s="827">
        <v>94040000</v>
      </c>
      <c r="V114" s="826"/>
      <c r="W114" s="826">
        <v>47020000</v>
      </c>
      <c r="X114" s="826"/>
      <c r="Y114" s="826"/>
      <c r="Z114" s="826"/>
      <c r="AA114" s="826"/>
      <c r="AB114" s="826"/>
      <c r="AC114" s="826"/>
      <c r="AD114" s="826"/>
      <c r="AE114" s="826"/>
      <c r="AF114" s="826"/>
      <c r="AG114" s="826">
        <f>SUM(V114:AF114)</f>
        <v>47020000</v>
      </c>
      <c r="AH114" s="822" t="s">
        <v>265</v>
      </c>
      <c r="AI114" s="822" t="s">
        <v>712</v>
      </c>
      <c r="AJ114" s="822" t="s">
        <v>713</v>
      </c>
      <c r="AK114" s="822" t="s">
        <v>707</v>
      </c>
      <c r="AL114" s="822" t="s">
        <v>794</v>
      </c>
      <c r="AM114" s="821">
        <v>100</v>
      </c>
      <c r="AN114" s="671">
        <f>(AG114*100)/U114</f>
        <v>50</v>
      </c>
    </row>
    <row r="115" spans="1:41" ht="196.5" customHeight="1" x14ac:dyDescent="0.25">
      <c r="A115" s="1041">
        <v>23</v>
      </c>
      <c r="B115" s="1043" t="s">
        <v>390</v>
      </c>
      <c r="C115" s="1043" t="s">
        <v>833</v>
      </c>
      <c r="D115" s="1043">
        <v>2013</v>
      </c>
      <c r="E115" s="1041" t="s">
        <v>834</v>
      </c>
      <c r="F115" s="1033" t="s">
        <v>804</v>
      </c>
      <c r="G115" s="1031">
        <v>142360000</v>
      </c>
      <c r="H115" s="1033" t="s">
        <v>805</v>
      </c>
      <c r="I115" s="573">
        <v>1</v>
      </c>
      <c r="J115" s="575" t="s">
        <v>806</v>
      </c>
      <c r="K115" s="575" t="s">
        <v>807</v>
      </c>
      <c r="L115" s="575" t="s">
        <v>808</v>
      </c>
      <c r="M115" s="271">
        <v>15000000</v>
      </c>
      <c r="N115" s="575" t="s">
        <v>809</v>
      </c>
      <c r="O115" s="272">
        <v>41487</v>
      </c>
      <c r="P115" s="575"/>
      <c r="Q115" s="575"/>
      <c r="R115" s="575" t="s">
        <v>810</v>
      </c>
      <c r="S115" s="271">
        <v>18000000</v>
      </c>
      <c r="T115" s="575" t="s">
        <v>811</v>
      </c>
      <c r="U115" s="273">
        <v>15000000</v>
      </c>
      <c r="V115" s="271"/>
      <c r="W115" s="271">
        <v>3000000</v>
      </c>
      <c r="X115" s="271">
        <v>3000000</v>
      </c>
      <c r="Y115" s="271">
        <v>3000000</v>
      </c>
      <c r="Z115" s="271">
        <v>3000000</v>
      </c>
      <c r="AA115" s="271">
        <v>3000000</v>
      </c>
      <c r="AB115" s="271"/>
      <c r="AC115" s="99"/>
      <c r="AD115" s="99"/>
      <c r="AE115" s="99"/>
      <c r="AF115" s="99"/>
      <c r="AG115" s="274">
        <f>SUM(V115:AF115)</f>
        <v>15000000</v>
      </c>
      <c r="AH115" s="575" t="s">
        <v>237</v>
      </c>
      <c r="AI115" s="575" t="s">
        <v>812</v>
      </c>
      <c r="AJ115" s="275" t="s">
        <v>829</v>
      </c>
      <c r="AK115" s="575" t="s">
        <v>813</v>
      </c>
      <c r="AL115" s="575" t="s">
        <v>1343</v>
      </c>
      <c r="AM115" s="572">
        <v>100</v>
      </c>
      <c r="AN115" s="276">
        <f>(AG115*100)/U115</f>
        <v>100</v>
      </c>
    </row>
    <row r="116" spans="1:41" s="3" customFormat="1" ht="164.25" customHeight="1" x14ac:dyDescent="0.25">
      <c r="A116" s="1042"/>
      <c r="B116" s="1043"/>
      <c r="C116" s="1043"/>
      <c r="D116" s="1043"/>
      <c r="E116" s="1042"/>
      <c r="F116" s="1033"/>
      <c r="G116" s="1031"/>
      <c r="H116" s="1033"/>
      <c r="I116" s="574">
        <v>2</v>
      </c>
      <c r="J116" s="574" t="s">
        <v>814</v>
      </c>
      <c r="K116" s="574" t="s">
        <v>815</v>
      </c>
      <c r="L116" s="574" t="s">
        <v>816</v>
      </c>
      <c r="M116" s="99">
        <v>20408000</v>
      </c>
      <c r="N116" s="574" t="s">
        <v>1371</v>
      </c>
      <c r="O116" s="100">
        <v>41638</v>
      </c>
      <c r="P116" s="100">
        <v>41639</v>
      </c>
      <c r="Q116" s="100">
        <v>41639</v>
      </c>
      <c r="R116" s="574" t="s">
        <v>817</v>
      </c>
      <c r="S116" s="101">
        <f>15500000+4918000</f>
        <v>20418000</v>
      </c>
      <c r="T116" s="574"/>
      <c r="U116" s="102"/>
      <c r="V116" s="99"/>
      <c r="W116" s="99">
        <v>20408000</v>
      </c>
      <c r="X116" s="99"/>
      <c r="Y116" s="99"/>
      <c r="Z116" s="99"/>
      <c r="AA116" s="99"/>
      <c r="AB116" s="99"/>
      <c r="AC116" s="99"/>
      <c r="AD116" s="99"/>
      <c r="AE116" s="99"/>
      <c r="AF116" s="99"/>
      <c r="AG116" s="99">
        <f>SUM(V116:AF116)</f>
        <v>20408000</v>
      </c>
      <c r="AH116" s="574" t="s">
        <v>237</v>
      </c>
      <c r="AI116" s="574" t="s">
        <v>812</v>
      </c>
      <c r="AJ116" s="574" t="s">
        <v>830</v>
      </c>
      <c r="AK116" s="574" t="s">
        <v>818</v>
      </c>
      <c r="AL116" s="574" t="s">
        <v>1342</v>
      </c>
      <c r="AM116" s="574">
        <v>100</v>
      </c>
      <c r="AN116" s="277">
        <v>100</v>
      </c>
      <c r="AO116"/>
    </row>
    <row r="117" spans="1:41" s="3" customFormat="1" ht="129.75" customHeight="1" x14ac:dyDescent="0.25">
      <c r="A117" s="1042"/>
      <c r="B117" s="1043"/>
      <c r="C117" s="1043"/>
      <c r="D117" s="1043"/>
      <c r="E117" s="1042"/>
      <c r="F117" s="1033"/>
      <c r="G117" s="1031"/>
      <c r="H117" s="1033"/>
      <c r="I117" s="574">
        <v>3</v>
      </c>
      <c r="J117" s="574" t="s">
        <v>827</v>
      </c>
      <c r="K117" s="574" t="s">
        <v>819</v>
      </c>
      <c r="L117" s="574" t="s">
        <v>820</v>
      </c>
      <c r="M117" s="99">
        <v>20800000</v>
      </c>
      <c r="N117" s="574" t="s">
        <v>176</v>
      </c>
      <c r="O117" s="100">
        <v>41601</v>
      </c>
      <c r="P117" s="100">
        <v>41639</v>
      </c>
      <c r="Q117" s="100">
        <v>41639</v>
      </c>
      <c r="R117" s="574" t="s">
        <v>821</v>
      </c>
      <c r="S117" s="99">
        <v>25500000</v>
      </c>
      <c r="T117" s="574" t="s">
        <v>822</v>
      </c>
      <c r="U117" s="102">
        <v>20800000</v>
      </c>
      <c r="V117" s="99"/>
      <c r="W117" s="99">
        <v>20800000</v>
      </c>
      <c r="X117" s="99"/>
      <c r="Y117" s="99"/>
      <c r="Z117" s="99"/>
      <c r="AA117" s="99"/>
      <c r="AB117" s="99"/>
      <c r="AC117" s="99"/>
      <c r="AD117" s="99"/>
      <c r="AE117" s="99"/>
      <c r="AF117" s="99"/>
      <c r="AG117" s="99">
        <f>SUM(V117:AF117)</f>
        <v>20800000</v>
      </c>
      <c r="AH117" s="574" t="s">
        <v>237</v>
      </c>
      <c r="AI117" s="574" t="s">
        <v>812</v>
      </c>
      <c r="AJ117" s="574" t="s">
        <v>830</v>
      </c>
      <c r="AK117" s="574" t="s">
        <v>831</v>
      </c>
      <c r="AL117" s="574" t="s">
        <v>1344</v>
      </c>
      <c r="AM117" s="574">
        <v>100</v>
      </c>
      <c r="AN117" s="574">
        <v>100</v>
      </c>
      <c r="AO117"/>
    </row>
    <row r="118" spans="1:41" s="3" customFormat="1" ht="84" customHeight="1" x14ac:dyDescent="0.25">
      <c r="A118" s="1042"/>
      <c r="B118" s="1044"/>
      <c r="C118" s="1044"/>
      <c r="D118" s="1044"/>
      <c r="E118" s="1042"/>
      <c r="F118" s="1034"/>
      <c r="G118" s="1032"/>
      <c r="H118" s="1034"/>
      <c r="I118" s="575">
        <v>4</v>
      </c>
      <c r="J118" s="575" t="s">
        <v>826</v>
      </c>
      <c r="K118" s="574" t="s">
        <v>828</v>
      </c>
      <c r="L118" s="574" t="s">
        <v>823</v>
      </c>
      <c r="M118" s="99">
        <v>37550000</v>
      </c>
      <c r="N118" s="574" t="s">
        <v>176</v>
      </c>
      <c r="O118" s="100">
        <v>41600</v>
      </c>
      <c r="P118" s="100">
        <v>41639</v>
      </c>
      <c r="Q118" s="100">
        <v>41639</v>
      </c>
      <c r="R118" s="574" t="s">
        <v>824</v>
      </c>
      <c r="S118" s="99">
        <v>44611695</v>
      </c>
      <c r="T118" s="574" t="s">
        <v>825</v>
      </c>
      <c r="U118" s="103">
        <v>37550000</v>
      </c>
      <c r="V118" s="99"/>
      <c r="W118" s="99">
        <v>33795000</v>
      </c>
      <c r="X118" s="99">
        <v>3755000</v>
      </c>
      <c r="Y118" s="99"/>
      <c r="Z118" s="99"/>
      <c r="AA118" s="99"/>
      <c r="AB118" s="99"/>
      <c r="AC118" s="99"/>
      <c r="AD118" s="99"/>
      <c r="AE118" s="99"/>
      <c r="AF118" s="99"/>
      <c r="AG118" s="99">
        <f>SUM(V118:AF118)</f>
        <v>37550000</v>
      </c>
      <c r="AH118" s="574" t="s">
        <v>237</v>
      </c>
      <c r="AI118" s="574" t="s">
        <v>812</v>
      </c>
      <c r="AJ118" s="574" t="s">
        <v>830</v>
      </c>
      <c r="AK118" s="574" t="s">
        <v>832</v>
      </c>
      <c r="AL118" s="574" t="s">
        <v>832</v>
      </c>
      <c r="AM118" s="574">
        <v>100</v>
      </c>
      <c r="AN118" s="574">
        <v>100</v>
      </c>
      <c r="AO118"/>
    </row>
    <row r="119" spans="1:41" s="3" customFormat="1" x14ac:dyDescent="0.25">
      <c r="A119" s="104"/>
      <c r="B119" s="105"/>
      <c r="C119" s="105"/>
      <c r="D119" s="105"/>
      <c r="E119" s="105"/>
      <c r="F119" s="105"/>
      <c r="G119" s="106"/>
      <c r="H119" s="105"/>
      <c r="I119" s="105"/>
      <c r="J119" s="105"/>
      <c r="K119" s="105"/>
      <c r="L119" s="105"/>
      <c r="M119" s="99">
        <f>SUM(M115:M118)</f>
        <v>93758000</v>
      </c>
      <c r="N119" s="105"/>
      <c r="O119" s="105"/>
      <c r="P119" s="105"/>
      <c r="Q119" s="105"/>
      <c r="R119" s="105"/>
      <c r="S119" s="99"/>
      <c r="T119" s="105"/>
      <c r="U119" s="102">
        <f>SUM(U115:U118)</f>
        <v>73350000</v>
      </c>
      <c r="V119" s="99"/>
      <c r="W119" s="99"/>
      <c r="X119" s="99"/>
      <c r="Y119" s="99"/>
      <c r="Z119" s="99"/>
      <c r="AA119" s="99"/>
      <c r="AB119" s="99"/>
      <c r="AC119" s="99"/>
      <c r="AD119" s="99"/>
      <c r="AE119" s="99"/>
      <c r="AF119" s="99"/>
      <c r="AG119" s="99">
        <f>SUM(AG115:AG118)</f>
        <v>93758000</v>
      </c>
      <c r="AH119" s="105"/>
      <c r="AI119" s="105"/>
      <c r="AJ119" s="105"/>
      <c r="AK119" s="105"/>
      <c r="AL119" s="105"/>
      <c r="AM119" s="105">
        <v>100</v>
      </c>
      <c r="AN119" s="105">
        <v>100</v>
      </c>
      <c r="AO119"/>
    </row>
    <row r="120" spans="1:41" s="3" customFormat="1" ht="409.5" x14ac:dyDescent="0.25">
      <c r="A120" s="1171">
        <v>24</v>
      </c>
      <c r="B120" s="1171" t="s">
        <v>844</v>
      </c>
      <c r="C120" s="1171" t="s">
        <v>845</v>
      </c>
      <c r="D120" s="1171">
        <v>2013</v>
      </c>
      <c r="E120" s="1172" t="s">
        <v>835</v>
      </c>
      <c r="F120" s="1173" t="s">
        <v>836</v>
      </c>
      <c r="G120" s="1174">
        <v>386530000</v>
      </c>
      <c r="H120" s="1171" t="s">
        <v>846</v>
      </c>
      <c r="I120" s="258">
        <v>1</v>
      </c>
      <c r="J120" s="258" t="s">
        <v>837</v>
      </c>
      <c r="K120" s="258" t="s">
        <v>838</v>
      </c>
      <c r="L120" s="258" t="s">
        <v>839</v>
      </c>
      <c r="M120" s="259">
        <v>18000000</v>
      </c>
      <c r="N120" s="258" t="s">
        <v>335</v>
      </c>
      <c r="O120" s="260">
        <v>41554</v>
      </c>
      <c r="P120" s="831">
        <v>41639</v>
      </c>
      <c r="Q120" s="831">
        <v>41639</v>
      </c>
      <c r="R120" s="258" t="s">
        <v>840</v>
      </c>
      <c r="S120" s="259">
        <f>11550000+6450000</f>
        <v>18000000</v>
      </c>
      <c r="T120" s="258" t="s">
        <v>841</v>
      </c>
      <c r="U120" s="259">
        <f>11550000+6450000</f>
        <v>18000000</v>
      </c>
      <c r="V120" s="259"/>
      <c r="W120" s="259">
        <v>7200000</v>
      </c>
      <c r="X120" s="259">
        <v>7200000</v>
      </c>
      <c r="Y120" s="259">
        <v>3600000</v>
      </c>
      <c r="Z120" s="259"/>
      <c r="AA120" s="259"/>
      <c r="AB120" s="259"/>
      <c r="AC120" s="259"/>
      <c r="AD120" s="259"/>
      <c r="AE120" s="259"/>
      <c r="AF120" s="259"/>
      <c r="AG120" s="259">
        <f>SUM(V120:AF120)</f>
        <v>18000000</v>
      </c>
      <c r="AH120" s="258" t="s">
        <v>237</v>
      </c>
      <c r="AI120" s="258" t="s">
        <v>842</v>
      </c>
      <c r="AJ120" s="258"/>
      <c r="AK120" s="258" t="s">
        <v>843</v>
      </c>
      <c r="AL120" s="258" t="s">
        <v>1345</v>
      </c>
      <c r="AM120" s="258">
        <v>100</v>
      </c>
      <c r="AN120" s="832">
        <f>(AG120*100)/U120</f>
        <v>100</v>
      </c>
    </row>
    <row r="121" spans="1:41" s="3" customFormat="1" ht="167.25" customHeight="1" x14ac:dyDescent="0.25">
      <c r="A121" s="1171"/>
      <c r="B121" s="1171"/>
      <c r="C121" s="1171"/>
      <c r="D121" s="1171"/>
      <c r="E121" s="1172"/>
      <c r="F121" s="1173"/>
      <c r="G121" s="1174"/>
      <c r="H121" s="1171"/>
      <c r="I121" s="258">
        <v>2</v>
      </c>
      <c r="J121" s="258" t="s">
        <v>856</v>
      </c>
      <c r="K121" s="258" t="s">
        <v>847</v>
      </c>
      <c r="L121" s="258" t="s">
        <v>848</v>
      </c>
      <c r="M121" s="259">
        <v>95879981</v>
      </c>
      <c r="N121" s="258" t="s">
        <v>850</v>
      </c>
      <c r="O121" s="260">
        <v>41579</v>
      </c>
      <c r="P121" s="260">
        <v>41639</v>
      </c>
      <c r="Q121" s="260">
        <v>41639</v>
      </c>
      <c r="R121" s="258" t="s">
        <v>851</v>
      </c>
      <c r="S121" s="259" t="s">
        <v>849</v>
      </c>
      <c r="T121" s="258" t="s">
        <v>852</v>
      </c>
      <c r="U121" s="261">
        <v>95879981</v>
      </c>
      <c r="V121" s="259"/>
      <c r="W121" s="259">
        <v>95879981</v>
      </c>
      <c r="X121" s="259"/>
      <c r="Y121" s="259"/>
      <c r="Z121" s="259"/>
      <c r="AA121" s="259"/>
      <c r="AB121" s="259"/>
      <c r="AC121" s="259"/>
      <c r="AD121" s="259"/>
      <c r="AE121" s="259"/>
      <c r="AF121" s="259"/>
      <c r="AG121" s="259">
        <f>SUM(V121:AF121)</f>
        <v>95879981</v>
      </c>
      <c r="AH121" s="258" t="s">
        <v>237</v>
      </c>
      <c r="AI121" s="258" t="s">
        <v>853</v>
      </c>
      <c r="AJ121" s="258"/>
      <c r="AK121" s="258" t="s">
        <v>855</v>
      </c>
      <c r="AL121" s="258" t="s">
        <v>854</v>
      </c>
      <c r="AM121" s="258">
        <v>100</v>
      </c>
      <c r="AN121" s="832">
        <f>(AG121*100)/U121</f>
        <v>100</v>
      </c>
    </row>
    <row r="122" spans="1:41" s="3" customFormat="1" ht="165" customHeight="1" x14ac:dyDescent="0.25">
      <c r="A122" s="1171"/>
      <c r="B122" s="1171"/>
      <c r="C122" s="1171"/>
      <c r="D122" s="1171"/>
      <c r="E122" s="1172"/>
      <c r="F122" s="1173"/>
      <c r="G122" s="1174"/>
      <c r="H122" s="1171"/>
      <c r="I122" s="258">
        <v>3</v>
      </c>
      <c r="J122" s="258" t="s">
        <v>863</v>
      </c>
      <c r="K122" s="258" t="s">
        <v>838</v>
      </c>
      <c r="L122" s="258" t="s">
        <v>864</v>
      </c>
      <c r="M122" s="259">
        <v>9900000</v>
      </c>
      <c r="N122" s="258" t="s">
        <v>776</v>
      </c>
      <c r="O122" s="260">
        <v>41353</v>
      </c>
      <c r="P122" s="260">
        <v>41445</v>
      </c>
      <c r="Q122" s="260">
        <v>41445</v>
      </c>
      <c r="R122" s="258" t="s">
        <v>865</v>
      </c>
      <c r="S122" s="259">
        <v>9900000</v>
      </c>
      <c r="T122" s="258" t="s">
        <v>866</v>
      </c>
      <c r="U122" s="261">
        <v>9900000</v>
      </c>
      <c r="V122" s="259"/>
      <c r="W122" s="259">
        <v>3300000</v>
      </c>
      <c r="X122" s="259"/>
      <c r="Y122" s="259"/>
      <c r="Z122" s="259"/>
      <c r="AA122" s="259"/>
      <c r="AB122" s="259"/>
      <c r="AC122" s="259"/>
      <c r="AD122" s="259"/>
      <c r="AE122" s="259"/>
      <c r="AF122" s="259"/>
      <c r="AG122" s="259">
        <f>SUM(V122:AF122)</f>
        <v>3300000</v>
      </c>
      <c r="AH122" s="258" t="s">
        <v>237</v>
      </c>
      <c r="AI122" s="258" t="s">
        <v>867</v>
      </c>
      <c r="AJ122" s="258"/>
      <c r="AK122" s="258" t="s">
        <v>869</v>
      </c>
      <c r="AL122" s="258" t="s">
        <v>868</v>
      </c>
      <c r="AM122" s="258">
        <v>100</v>
      </c>
      <c r="AN122" s="832">
        <f>(AG122*100)/U122</f>
        <v>33.333333333333336</v>
      </c>
    </row>
    <row r="123" spans="1:41" s="3" customFormat="1" ht="135" x14ac:dyDescent="0.25">
      <c r="A123" s="1171"/>
      <c r="B123" s="1171"/>
      <c r="C123" s="1171"/>
      <c r="D123" s="1171"/>
      <c r="E123" s="1172"/>
      <c r="F123" s="1173"/>
      <c r="G123" s="1174"/>
      <c r="H123" s="1171"/>
      <c r="I123" s="258">
        <v>4</v>
      </c>
      <c r="J123" s="258" t="s">
        <v>857</v>
      </c>
      <c r="K123" s="258" t="s">
        <v>838</v>
      </c>
      <c r="L123" s="258" t="s">
        <v>858</v>
      </c>
      <c r="M123" s="259">
        <v>3300000</v>
      </c>
      <c r="N123" s="258" t="s">
        <v>176</v>
      </c>
      <c r="O123" s="260">
        <v>41449</v>
      </c>
      <c r="P123" s="260">
        <v>41479</v>
      </c>
      <c r="Q123" s="260">
        <v>41479</v>
      </c>
      <c r="R123" s="258" t="s">
        <v>859</v>
      </c>
      <c r="S123" s="259"/>
      <c r="T123" s="258" t="s">
        <v>860</v>
      </c>
      <c r="U123" s="261"/>
      <c r="V123" s="259"/>
      <c r="W123" s="259">
        <v>3300000</v>
      </c>
      <c r="X123" s="259"/>
      <c r="Y123" s="259"/>
      <c r="Z123" s="259"/>
      <c r="AA123" s="259"/>
      <c r="AB123" s="259"/>
      <c r="AC123" s="259"/>
      <c r="AD123" s="259"/>
      <c r="AE123" s="259"/>
      <c r="AF123" s="259"/>
      <c r="AG123" s="259">
        <f>SUM(V123:AF123)</f>
        <v>3300000</v>
      </c>
      <c r="AH123" s="258" t="s">
        <v>237</v>
      </c>
      <c r="AI123" s="258" t="s">
        <v>861</v>
      </c>
      <c r="AJ123" s="258"/>
      <c r="AK123" s="258" t="s">
        <v>862</v>
      </c>
      <c r="AL123" s="258" t="s">
        <v>1346</v>
      </c>
      <c r="AM123" s="258">
        <v>100</v>
      </c>
      <c r="AN123" s="832">
        <v>100</v>
      </c>
    </row>
    <row r="124" spans="1:41" s="3" customFormat="1" x14ac:dyDescent="0.25">
      <c r="A124" s="258"/>
      <c r="B124" s="258"/>
      <c r="C124" s="258"/>
      <c r="D124" s="258"/>
      <c r="E124" s="833"/>
      <c r="F124" s="834"/>
      <c r="G124" s="835"/>
      <c r="H124" s="258"/>
      <c r="I124" s="258"/>
      <c r="J124" s="258"/>
      <c r="K124" s="258"/>
      <c r="L124" s="258"/>
      <c r="M124" s="259">
        <f>SUM(M120:M123)</f>
        <v>127079981</v>
      </c>
      <c r="N124" s="258"/>
      <c r="O124" s="260"/>
      <c r="P124" s="260"/>
      <c r="Q124" s="260"/>
      <c r="R124" s="258"/>
      <c r="S124" s="259"/>
      <c r="T124" s="258"/>
      <c r="U124" s="261">
        <f>SUM(U120:U123)</f>
        <v>123779981</v>
      </c>
      <c r="V124" s="259"/>
      <c r="W124" s="259"/>
      <c r="X124" s="259"/>
      <c r="Y124" s="259"/>
      <c r="Z124" s="259"/>
      <c r="AA124" s="259"/>
      <c r="AB124" s="259"/>
      <c r="AC124" s="259"/>
      <c r="AD124" s="259"/>
      <c r="AE124" s="259">
        <f>AG124+(U122-W122)</f>
        <v>127079981</v>
      </c>
      <c r="AF124" s="259"/>
      <c r="AG124" s="259">
        <f>SUM(AG120:AG123)</f>
        <v>120479981</v>
      </c>
      <c r="AH124" s="258"/>
      <c r="AI124" s="258"/>
      <c r="AJ124" s="258"/>
      <c r="AK124" s="258"/>
      <c r="AL124" s="258"/>
      <c r="AM124" s="258">
        <f>SUM(AM120:AM123)/4</f>
        <v>100</v>
      </c>
      <c r="AN124" s="836">
        <f>(AG124/M124)*100</f>
        <v>94.806420375527125</v>
      </c>
    </row>
    <row r="125" spans="1:41" s="3" customFormat="1" ht="83.25" customHeight="1" x14ac:dyDescent="0.25">
      <c r="A125" s="593">
        <v>25</v>
      </c>
      <c r="B125" s="593" t="s">
        <v>390</v>
      </c>
      <c r="C125" s="593" t="s">
        <v>870</v>
      </c>
      <c r="D125" s="593">
        <v>2013</v>
      </c>
      <c r="E125" s="593" t="s">
        <v>871</v>
      </c>
      <c r="F125" s="593" t="s">
        <v>872</v>
      </c>
      <c r="G125" s="837">
        <v>236486000000</v>
      </c>
      <c r="H125" s="593" t="s">
        <v>873</v>
      </c>
      <c r="I125" s="593">
        <v>1</v>
      </c>
      <c r="J125" s="593" t="s">
        <v>874</v>
      </c>
      <c r="K125" s="593" t="s">
        <v>875</v>
      </c>
      <c r="L125" s="593" t="s">
        <v>876</v>
      </c>
      <c r="M125" s="838">
        <v>9900000</v>
      </c>
      <c r="N125" s="593" t="s">
        <v>877</v>
      </c>
      <c r="O125" s="839">
        <v>41610</v>
      </c>
      <c r="P125" s="839">
        <v>41639</v>
      </c>
      <c r="Q125" s="839">
        <v>41639</v>
      </c>
      <c r="R125" s="593" t="s">
        <v>878</v>
      </c>
      <c r="S125" s="838">
        <v>9900000</v>
      </c>
      <c r="T125" s="593" t="s">
        <v>879</v>
      </c>
      <c r="U125" s="840">
        <v>9900000</v>
      </c>
      <c r="V125" s="838">
        <v>3960000</v>
      </c>
      <c r="W125" s="838">
        <v>2970000</v>
      </c>
      <c r="X125" s="838">
        <v>2970000</v>
      </c>
      <c r="Y125" s="838"/>
      <c r="Z125" s="838"/>
      <c r="AA125" s="838"/>
      <c r="AB125" s="838"/>
      <c r="AC125" s="838"/>
      <c r="AD125" s="838"/>
      <c r="AE125" s="838"/>
      <c r="AF125" s="838"/>
      <c r="AG125" s="838">
        <f>SUM(V125:AF125)</f>
        <v>9900000</v>
      </c>
      <c r="AH125" s="593" t="s">
        <v>237</v>
      </c>
      <c r="AI125" s="593" t="s">
        <v>880</v>
      </c>
      <c r="AJ125" s="593" t="s">
        <v>881</v>
      </c>
      <c r="AK125" s="593" t="s">
        <v>882</v>
      </c>
      <c r="AL125" s="593" t="s">
        <v>883</v>
      </c>
      <c r="AM125" s="593">
        <v>100</v>
      </c>
      <c r="AN125" s="593">
        <v>100</v>
      </c>
    </row>
    <row r="126" spans="1:41" s="3" customFormat="1" ht="75" hidden="1" x14ac:dyDescent="0.25">
      <c r="A126" s="249">
        <v>26</v>
      </c>
      <c r="B126" s="249"/>
      <c r="C126" s="249"/>
      <c r="D126" s="249">
        <v>2011</v>
      </c>
      <c r="E126" s="249" t="s">
        <v>884</v>
      </c>
      <c r="F126" s="249" t="s">
        <v>885</v>
      </c>
      <c r="G126" s="841">
        <v>90000000</v>
      </c>
      <c r="H126" s="249" t="s">
        <v>886</v>
      </c>
      <c r="I126" s="249">
        <v>1</v>
      </c>
      <c r="J126" s="249" t="s">
        <v>887</v>
      </c>
      <c r="K126" s="249" t="s">
        <v>888</v>
      </c>
      <c r="L126" s="249" t="s">
        <v>889</v>
      </c>
      <c r="M126" s="250">
        <v>77690000</v>
      </c>
      <c r="N126" s="249" t="s">
        <v>303</v>
      </c>
      <c r="O126" s="251">
        <v>40877</v>
      </c>
      <c r="P126" s="251">
        <v>41120</v>
      </c>
      <c r="Q126" s="251">
        <v>41120</v>
      </c>
      <c r="R126" s="249" t="s">
        <v>890</v>
      </c>
      <c r="S126" s="250">
        <v>77690000</v>
      </c>
      <c r="T126" s="249" t="s">
        <v>891</v>
      </c>
      <c r="U126" s="252">
        <v>77690000</v>
      </c>
      <c r="V126" s="250">
        <v>38845000</v>
      </c>
      <c r="W126" s="250"/>
      <c r="X126" s="250"/>
      <c r="Y126" s="250"/>
      <c r="Z126" s="250"/>
      <c r="AA126" s="250"/>
      <c r="AB126" s="250"/>
      <c r="AC126" s="250"/>
      <c r="AD126" s="250"/>
      <c r="AE126" s="250"/>
      <c r="AF126" s="250"/>
      <c r="AG126" s="250">
        <f>SUM(V126:AF126)</f>
        <v>38845000</v>
      </c>
      <c r="AH126" s="249" t="s">
        <v>892</v>
      </c>
      <c r="AI126" s="249" t="s">
        <v>893</v>
      </c>
      <c r="AJ126" s="249" t="s">
        <v>894</v>
      </c>
      <c r="AK126" s="249"/>
      <c r="AL126" s="249"/>
      <c r="AM126" s="249">
        <v>15.7</v>
      </c>
      <c r="AN126" s="842">
        <f>(AG126*100)/M126</f>
        <v>50</v>
      </c>
      <c r="AO126" s="3" t="s">
        <v>906</v>
      </c>
    </row>
    <row r="127" spans="1:41" s="3" customFormat="1" ht="90" x14ac:dyDescent="0.25">
      <c r="A127" s="843">
        <v>26</v>
      </c>
      <c r="B127" s="843" t="s">
        <v>390</v>
      </c>
      <c r="C127" s="843" t="s">
        <v>895</v>
      </c>
      <c r="D127" s="843">
        <v>2013</v>
      </c>
      <c r="E127" s="843" t="s">
        <v>896</v>
      </c>
      <c r="F127" s="843" t="s">
        <v>897</v>
      </c>
      <c r="G127" s="844">
        <v>388861227</v>
      </c>
      <c r="H127" s="843" t="s">
        <v>898</v>
      </c>
      <c r="I127" s="843">
        <v>1</v>
      </c>
      <c r="J127" s="843" t="s">
        <v>899</v>
      </c>
      <c r="K127" s="843" t="s">
        <v>900</v>
      </c>
      <c r="L127" s="843" t="s">
        <v>901</v>
      </c>
      <c r="M127" s="845">
        <v>233074149.03999999</v>
      </c>
      <c r="N127" s="843" t="s">
        <v>350</v>
      </c>
      <c r="O127" s="846">
        <v>41627</v>
      </c>
      <c r="P127" s="846">
        <v>41747</v>
      </c>
      <c r="Q127" s="846"/>
      <c r="R127" s="843" t="s">
        <v>902</v>
      </c>
      <c r="S127" s="845">
        <v>47199993.539999999</v>
      </c>
      <c r="T127" s="843" t="s">
        <v>860</v>
      </c>
      <c r="U127" s="847"/>
      <c r="V127" s="845">
        <v>46614829.810000002</v>
      </c>
      <c r="W127" s="845"/>
      <c r="X127" s="845"/>
      <c r="Y127" s="845"/>
      <c r="Z127" s="845"/>
      <c r="AA127" s="845"/>
      <c r="AB127" s="845"/>
      <c r="AC127" s="845"/>
      <c r="AD127" s="845"/>
      <c r="AE127" s="845"/>
      <c r="AF127" s="845"/>
      <c r="AG127" s="845">
        <f>SUM(V127:AF127)</f>
        <v>46614829.810000002</v>
      </c>
      <c r="AH127" s="843" t="s">
        <v>265</v>
      </c>
      <c r="AI127" s="843" t="s">
        <v>903</v>
      </c>
      <c r="AJ127" s="843" t="s">
        <v>904</v>
      </c>
      <c r="AK127" s="843" t="s">
        <v>905</v>
      </c>
      <c r="AL127" s="843"/>
      <c r="AM127" s="843">
        <v>50</v>
      </c>
      <c r="AN127" s="848">
        <f>(AG127*100)/M127</f>
        <v>20.000000000858098</v>
      </c>
    </row>
    <row r="128" spans="1:41" s="3" customFormat="1" ht="60" x14ac:dyDescent="0.25">
      <c r="A128" s="849">
        <v>27</v>
      </c>
      <c r="B128" s="849" t="s">
        <v>844</v>
      </c>
      <c r="C128" s="850" t="s">
        <v>1350</v>
      </c>
      <c r="D128" s="849">
        <v>2013</v>
      </c>
      <c r="E128" s="850" t="s">
        <v>1349</v>
      </c>
      <c r="F128" s="850" t="s">
        <v>1347</v>
      </c>
      <c r="G128" s="851">
        <v>249210000</v>
      </c>
      <c r="H128" s="850" t="s">
        <v>1348</v>
      </c>
      <c r="I128" s="852"/>
      <c r="J128" s="852"/>
      <c r="K128" s="852"/>
      <c r="L128" s="852"/>
      <c r="M128" s="852"/>
      <c r="N128" s="852"/>
      <c r="O128" s="852"/>
      <c r="P128" s="852"/>
      <c r="Q128" s="852"/>
      <c r="R128" s="852"/>
      <c r="S128" s="852"/>
      <c r="T128" s="852"/>
      <c r="U128" s="852"/>
      <c r="V128" s="852"/>
      <c r="W128" s="852"/>
      <c r="X128" s="852"/>
      <c r="Y128" s="852"/>
      <c r="Z128" s="852"/>
      <c r="AA128" s="852"/>
      <c r="AB128" s="852"/>
      <c r="AC128" s="852"/>
      <c r="AD128" s="852"/>
      <c r="AE128" s="852"/>
      <c r="AF128" s="852"/>
      <c r="AG128" s="852"/>
      <c r="AH128" s="852"/>
      <c r="AI128" s="852"/>
      <c r="AJ128" s="852"/>
      <c r="AK128" s="850" t="s">
        <v>1347</v>
      </c>
      <c r="AL128" s="852"/>
      <c r="AM128" s="852"/>
      <c r="AN128" s="852"/>
      <c r="AO128"/>
    </row>
    <row r="129" spans="1:40" s="3" customFormat="1" ht="93" customHeight="1" x14ac:dyDescent="0.25">
      <c r="A129" s="1175">
        <v>28</v>
      </c>
      <c r="B129" s="1175" t="s">
        <v>390</v>
      </c>
      <c r="C129" s="1175" t="s">
        <v>1351</v>
      </c>
      <c r="D129" s="1175">
        <v>2013</v>
      </c>
      <c r="E129" s="1175" t="s">
        <v>1373</v>
      </c>
      <c r="F129" s="1175" t="s">
        <v>1042</v>
      </c>
      <c r="G129" s="1176">
        <v>225000000</v>
      </c>
      <c r="H129" s="1175" t="s">
        <v>1043</v>
      </c>
      <c r="I129" s="853">
        <v>1</v>
      </c>
      <c r="J129" s="853" t="s">
        <v>1362</v>
      </c>
      <c r="K129" s="853" t="s">
        <v>913</v>
      </c>
      <c r="L129" s="854" t="s">
        <v>1308</v>
      </c>
      <c r="M129" s="855">
        <v>60000000</v>
      </c>
      <c r="N129" s="853" t="s">
        <v>350</v>
      </c>
      <c r="O129" s="856">
        <v>41492</v>
      </c>
      <c r="P129" s="856">
        <v>41639</v>
      </c>
      <c r="Q129" s="856">
        <v>41639</v>
      </c>
      <c r="R129" s="853" t="s">
        <v>908</v>
      </c>
      <c r="S129" s="855">
        <v>60000000</v>
      </c>
      <c r="T129" s="853" t="s">
        <v>909</v>
      </c>
      <c r="U129" s="855">
        <v>60000000</v>
      </c>
      <c r="V129" s="855"/>
      <c r="W129" s="855">
        <v>60000000</v>
      </c>
      <c r="X129" s="855"/>
      <c r="Y129" s="855"/>
      <c r="Z129" s="855"/>
      <c r="AA129" s="855"/>
      <c r="AB129" s="855"/>
      <c r="AC129" s="855"/>
      <c r="AD129" s="855"/>
      <c r="AE129" s="855"/>
      <c r="AF129" s="855"/>
      <c r="AG129" s="855">
        <f>SUM(W129:AF129)</f>
        <v>60000000</v>
      </c>
      <c r="AH129" s="853" t="s">
        <v>237</v>
      </c>
      <c r="AI129" s="853" t="s">
        <v>910</v>
      </c>
      <c r="AJ129" s="853" t="s">
        <v>998</v>
      </c>
      <c r="AK129" s="853" t="s">
        <v>911</v>
      </c>
      <c r="AL129" s="853" t="s">
        <v>1301</v>
      </c>
      <c r="AM129" s="853">
        <v>100</v>
      </c>
      <c r="AN129" s="857">
        <f t="shared" ref="AN129:AN141" si="11">(AG129*100)/U129</f>
        <v>100</v>
      </c>
    </row>
    <row r="130" spans="1:40" s="3" customFormat="1" ht="90" x14ac:dyDescent="0.25">
      <c r="A130" s="1175"/>
      <c r="B130" s="1175"/>
      <c r="C130" s="1175"/>
      <c r="D130" s="1175"/>
      <c r="E130" s="1175"/>
      <c r="F130" s="1175"/>
      <c r="G130" s="1176"/>
      <c r="H130" s="1175"/>
      <c r="I130" s="853">
        <v>2</v>
      </c>
      <c r="J130" s="853" t="s">
        <v>912</v>
      </c>
      <c r="K130" s="853" t="s">
        <v>914</v>
      </c>
      <c r="L130" s="858" t="s">
        <v>1309</v>
      </c>
      <c r="M130" s="855">
        <v>30000000</v>
      </c>
      <c r="N130" s="853" t="s">
        <v>350</v>
      </c>
      <c r="O130" s="856">
        <v>41492</v>
      </c>
      <c r="P130" s="856">
        <v>41639</v>
      </c>
      <c r="Q130" s="856"/>
      <c r="R130" s="853" t="s">
        <v>915</v>
      </c>
      <c r="S130" s="855">
        <v>23000000</v>
      </c>
      <c r="T130" s="853" t="s">
        <v>916</v>
      </c>
      <c r="U130" s="855">
        <v>23000000</v>
      </c>
      <c r="V130" s="855"/>
      <c r="W130" s="855">
        <f>U130*26.25%</f>
        <v>6037500</v>
      </c>
      <c r="X130" s="855"/>
      <c r="Y130" s="855"/>
      <c r="Z130" s="855"/>
      <c r="AA130" s="855"/>
      <c r="AB130" s="855"/>
      <c r="AC130" s="855"/>
      <c r="AD130" s="855"/>
      <c r="AE130" s="855"/>
      <c r="AF130" s="855"/>
      <c r="AG130" s="855">
        <f t="shared" ref="AG130:AG141" si="12">SUM(W130:AF130)</f>
        <v>6037500</v>
      </c>
      <c r="AH130" s="853" t="s">
        <v>917</v>
      </c>
      <c r="AI130" s="853" t="s">
        <v>910</v>
      </c>
      <c r="AJ130" s="853" t="s">
        <v>919</v>
      </c>
      <c r="AK130" s="853" t="s">
        <v>918</v>
      </c>
      <c r="AL130" s="853" t="s">
        <v>918</v>
      </c>
      <c r="AM130" s="853">
        <v>26.25</v>
      </c>
      <c r="AN130" s="857">
        <f t="shared" si="11"/>
        <v>26.25</v>
      </c>
    </row>
    <row r="131" spans="1:40" s="3" customFormat="1" ht="90" x14ac:dyDescent="0.25">
      <c r="A131" s="1175"/>
      <c r="B131" s="1175"/>
      <c r="C131" s="1175"/>
      <c r="D131" s="1175"/>
      <c r="E131" s="1175"/>
      <c r="F131" s="1175"/>
      <c r="G131" s="1176"/>
      <c r="H131" s="1175"/>
      <c r="I131" s="853">
        <v>3</v>
      </c>
      <c r="J131" s="853" t="s">
        <v>1363</v>
      </c>
      <c r="K131" s="853" t="s">
        <v>921</v>
      </c>
      <c r="L131" s="854" t="s">
        <v>1310</v>
      </c>
      <c r="M131" s="855">
        <v>53000000</v>
      </c>
      <c r="N131" s="853" t="s">
        <v>350</v>
      </c>
      <c r="O131" s="856">
        <v>41498</v>
      </c>
      <c r="P131" s="856">
        <v>41639</v>
      </c>
      <c r="Q131" s="856"/>
      <c r="R131" s="853" t="s">
        <v>922</v>
      </c>
      <c r="S131" s="855">
        <v>53000000</v>
      </c>
      <c r="T131" s="853" t="s">
        <v>923</v>
      </c>
      <c r="U131" s="855">
        <v>53000000</v>
      </c>
      <c r="V131" s="855"/>
      <c r="W131" s="855">
        <v>17000000</v>
      </c>
      <c r="X131" s="855">
        <v>17000000</v>
      </c>
      <c r="Y131" s="855">
        <v>19000000</v>
      </c>
      <c r="Z131" s="855"/>
      <c r="AA131" s="855"/>
      <c r="AB131" s="855"/>
      <c r="AC131" s="855"/>
      <c r="AD131" s="855"/>
      <c r="AE131" s="855"/>
      <c r="AF131" s="855"/>
      <c r="AG131" s="855">
        <f t="shared" si="12"/>
        <v>53000000</v>
      </c>
      <c r="AH131" s="853" t="s">
        <v>237</v>
      </c>
      <c r="AI131" s="853" t="s">
        <v>910</v>
      </c>
      <c r="AJ131" s="853" t="s">
        <v>925</v>
      </c>
      <c r="AK131" s="853" t="s">
        <v>924</v>
      </c>
      <c r="AL131" s="853" t="s">
        <v>924</v>
      </c>
      <c r="AM131" s="853">
        <v>100</v>
      </c>
      <c r="AN131" s="857">
        <f t="shared" si="11"/>
        <v>100</v>
      </c>
    </row>
    <row r="132" spans="1:40" s="3" customFormat="1" ht="120" x14ac:dyDescent="0.25">
      <c r="A132" s="1175"/>
      <c r="B132" s="1175"/>
      <c r="C132" s="1175"/>
      <c r="D132" s="1175"/>
      <c r="E132" s="1175"/>
      <c r="F132" s="1175"/>
      <c r="G132" s="1176"/>
      <c r="H132" s="1175"/>
      <c r="I132" s="853">
        <v>4</v>
      </c>
      <c r="J132" s="853" t="s">
        <v>926</v>
      </c>
      <c r="K132" s="853" t="s">
        <v>927</v>
      </c>
      <c r="L132" s="858" t="s">
        <v>1311</v>
      </c>
      <c r="M132" s="855">
        <v>14400000</v>
      </c>
      <c r="N132" s="853" t="s">
        <v>457</v>
      </c>
      <c r="O132" s="856">
        <v>41506</v>
      </c>
      <c r="P132" s="856">
        <v>41639</v>
      </c>
      <c r="Q132" s="856"/>
      <c r="R132" s="853" t="s">
        <v>928</v>
      </c>
      <c r="S132" s="855">
        <v>50000000</v>
      </c>
      <c r="T132" s="853" t="s">
        <v>929</v>
      </c>
      <c r="U132" s="855">
        <v>20400000</v>
      </c>
      <c r="V132" s="855"/>
      <c r="W132" s="855">
        <v>2400000</v>
      </c>
      <c r="X132" s="855">
        <v>3000000</v>
      </c>
      <c r="Y132" s="855">
        <v>1350500</v>
      </c>
      <c r="Z132" s="855"/>
      <c r="AA132" s="855"/>
      <c r="AB132" s="855"/>
      <c r="AC132" s="855"/>
      <c r="AD132" s="855"/>
      <c r="AE132" s="855"/>
      <c r="AF132" s="855"/>
      <c r="AG132" s="855">
        <f t="shared" si="12"/>
        <v>6750500</v>
      </c>
      <c r="AH132" s="853"/>
      <c r="AI132" s="853" t="s">
        <v>930</v>
      </c>
      <c r="AJ132" s="853"/>
      <c r="AK132" s="853" t="s">
        <v>931</v>
      </c>
      <c r="AL132" s="853" t="s">
        <v>931</v>
      </c>
      <c r="AM132" s="853">
        <v>45</v>
      </c>
      <c r="AN132" s="857">
        <f t="shared" si="11"/>
        <v>33.090686274509807</v>
      </c>
    </row>
    <row r="133" spans="1:40" s="3" customFormat="1" ht="105" x14ac:dyDescent="0.25">
      <c r="A133" s="1175"/>
      <c r="B133" s="1175"/>
      <c r="C133" s="1175"/>
      <c r="D133" s="1175"/>
      <c r="E133" s="1175"/>
      <c r="F133" s="1175"/>
      <c r="G133" s="1176"/>
      <c r="H133" s="1175"/>
      <c r="I133" s="853">
        <v>5</v>
      </c>
      <c r="J133" s="853" t="s">
        <v>932</v>
      </c>
      <c r="K133" s="853" t="s">
        <v>933</v>
      </c>
      <c r="L133" s="858" t="s">
        <v>1312</v>
      </c>
      <c r="M133" s="855">
        <v>35000000</v>
      </c>
      <c r="N133" s="853" t="s">
        <v>934</v>
      </c>
      <c r="O133" s="856">
        <v>41501</v>
      </c>
      <c r="P133" s="856">
        <v>41639</v>
      </c>
      <c r="Q133" s="856"/>
      <c r="R133" s="853" t="s">
        <v>935</v>
      </c>
      <c r="S133" s="855">
        <v>21000000</v>
      </c>
      <c r="T133" s="853" t="s">
        <v>936</v>
      </c>
      <c r="U133" s="855">
        <v>21000000</v>
      </c>
      <c r="V133" s="855"/>
      <c r="W133" s="855">
        <v>7875000</v>
      </c>
      <c r="X133" s="855">
        <v>7875000</v>
      </c>
      <c r="Y133" s="855"/>
      <c r="Z133" s="855"/>
      <c r="AA133" s="855"/>
      <c r="AB133" s="855"/>
      <c r="AC133" s="855"/>
      <c r="AD133" s="855"/>
      <c r="AE133" s="855"/>
      <c r="AF133" s="855"/>
      <c r="AG133" s="855">
        <f t="shared" si="12"/>
        <v>15750000</v>
      </c>
      <c r="AH133" s="853"/>
      <c r="AI133" s="853" t="s">
        <v>910</v>
      </c>
      <c r="AJ133" s="853" t="s">
        <v>937</v>
      </c>
      <c r="AK133" s="853" t="s">
        <v>938</v>
      </c>
      <c r="AL133" s="853" t="s">
        <v>938</v>
      </c>
      <c r="AM133" s="853">
        <v>75</v>
      </c>
      <c r="AN133" s="857">
        <f t="shared" si="11"/>
        <v>75</v>
      </c>
    </row>
    <row r="134" spans="1:40" s="3" customFormat="1" ht="90" x14ac:dyDescent="0.25">
      <c r="A134" s="1175"/>
      <c r="B134" s="1175"/>
      <c r="C134" s="1175"/>
      <c r="D134" s="1175"/>
      <c r="E134" s="1175"/>
      <c r="F134" s="1175"/>
      <c r="G134" s="1176"/>
      <c r="H134" s="1175"/>
      <c r="I134" s="853">
        <v>6</v>
      </c>
      <c r="J134" s="853" t="s">
        <v>939</v>
      </c>
      <c r="K134" s="853" t="s">
        <v>940</v>
      </c>
      <c r="L134" s="854" t="s">
        <v>1317</v>
      </c>
      <c r="M134" s="855">
        <v>61900000</v>
      </c>
      <c r="N134" s="853" t="s">
        <v>350</v>
      </c>
      <c r="O134" s="856">
        <v>41502</v>
      </c>
      <c r="P134" s="856">
        <v>41639</v>
      </c>
      <c r="Q134" s="856">
        <v>41639</v>
      </c>
      <c r="R134" s="853" t="s">
        <v>941</v>
      </c>
      <c r="S134" s="855">
        <v>61900000</v>
      </c>
      <c r="T134" s="853" t="s">
        <v>942</v>
      </c>
      <c r="U134" s="855">
        <v>61900000</v>
      </c>
      <c r="V134" s="855"/>
      <c r="W134" s="855">
        <v>21046000</v>
      </c>
      <c r="X134" s="855">
        <v>40854000</v>
      </c>
      <c r="Y134" s="855"/>
      <c r="Z134" s="855"/>
      <c r="AA134" s="855"/>
      <c r="AB134" s="855"/>
      <c r="AC134" s="855"/>
      <c r="AD134" s="855"/>
      <c r="AE134" s="855"/>
      <c r="AF134" s="855"/>
      <c r="AG134" s="855">
        <f t="shared" si="12"/>
        <v>61900000</v>
      </c>
      <c r="AH134" s="853" t="s">
        <v>237</v>
      </c>
      <c r="AI134" s="853" t="s">
        <v>910</v>
      </c>
      <c r="AJ134" s="853" t="s">
        <v>943</v>
      </c>
      <c r="AK134" s="853" t="s">
        <v>945</v>
      </c>
      <c r="AL134" s="853" t="s">
        <v>945</v>
      </c>
      <c r="AM134" s="853">
        <v>100</v>
      </c>
      <c r="AN134" s="857">
        <f t="shared" si="11"/>
        <v>100</v>
      </c>
    </row>
    <row r="135" spans="1:40" s="3" customFormat="1" ht="93" customHeight="1" x14ac:dyDescent="0.25">
      <c r="A135" s="1175"/>
      <c r="B135" s="1175"/>
      <c r="C135" s="1175"/>
      <c r="D135" s="1175"/>
      <c r="E135" s="1175"/>
      <c r="F135" s="1175"/>
      <c r="G135" s="1176"/>
      <c r="H135" s="1175"/>
      <c r="I135" s="853">
        <v>7</v>
      </c>
      <c r="J135" s="853" t="s">
        <v>946</v>
      </c>
      <c r="K135" s="853" t="s">
        <v>947</v>
      </c>
      <c r="L135" s="858" t="s">
        <v>1316</v>
      </c>
      <c r="M135" s="855">
        <v>14400000</v>
      </c>
      <c r="N135" s="853" t="s">
        <v>350</v>
      </c>
      <c r="O135" s="856">
        <v>41506</v>
      </c>
      <c r="P135" s="856">
        <v>41639</v>
      </c>
      <c r="Q135" s="856"/>
      <c r="R135" s="853" t="s">
        <v>928</v>
      </c>
      <c r="S135" s="855">
        <v>38400000</v>
      </c>
      <c r="T135" s="853" t="s">
        <v>950</v>
      </c>
      <c r="U135" s="855">
        <v>18000000</v>
      </c>
      <c r="V135" s="855"/>
      <c r="W135" s="855">
        <v>2400000</v>
      </c>
      <c r="X135" s="855">
        <v>3000000</v>
      </c>
      <c r="Y135" s="855">
        <v>3000000</v>
      </c>
      <c r="Z135" s="855"/>
      <c r="AA135" s="855"/>
      <c r="AB135" s="855"/>
      <c r="AC135" s="855"/>
      <c r="AD135" s="855"/>
      <c r="AE135" s="855"/>
      <c r="AF135" s="855"/>
      <c r="AG135" s="855">
        <f t="shared" si="12"/>
        <v>8400000</v>
      </c>
      <c r="AH135" s="853"/>
      <c r="AI135" s="853" t="s">
        <v>954</v>
      </c>
      <c r="AJ135" s="853" t="s">
        <v>953</v>
      </c>
      <c r="AK135" s="853" t="s">
        <v>944</v>
      </c>
      <c r="AL135" s="853" t="s">
        <v>1302</v>
      </c>
      <c r="AM135" s="853">
        <v>46</v>
      </c>
      <c r="AN135" s="857">
        <f t="shared" si="11"/>
        <v>46.666666666666664</v>
      </c>
    </row>
    <row r="136" spans="1:40" s="3" customFormat="1" ht="90" x14ac:dyDescent="0.25">
      <c r="A136" s="1175"/>
      <c r="B136" s="1175"/>
      <c r="C136" s="1175"/>
      <c r="D136" s="1175"/>
      <c r="E136" s="1175"/>
      <c r="F136" s="1175"/>
      <c r="G136" s="1176"/>
      <c r="H136" s="1175"/>
      <c r="I136" s="853">
        <v>8</v>
      </c>
      <c r="J136" s="853" t="s">
        <v>948</v>
      </c>
      <c r="K136" s="853" t="s">
        <v>949</v>
      </c>
      <c r="L136" s="858" t="s">
        <v>1318</v>
      </c>
      <c r="M136" s="855">
        <v>123800000</v>
      </c>
      <c r="N136" s="853" t="s">
        <v>350</v>
      </c>
      <c r="O136" s="856">
        <v>41513</v>
      </c>
      <c r="P136" s="856">
        <v>41639</v>
      </c>
      <c r="Q136" s="856"/>
      <c r="R136" s="853" t="s">
        <v>951</v>
      </c>
      <c r="S136" s="855">
        <v>116800000</v>
      </c>
      <c r="T136" s="853" t="s">
        <v>952</v>
      </c>
      <c r="U136" s="855">
        <v>116800000</v>
      </c>
      <c r="V136" s="855"/>
      <c r="W136" s="855">
        <v>31903920</v>
      </c>
      <c r="X136" s="855">
        <v>31903920</v>
      </c>
      <c r="Y136" s="855"/>
      <c r="Z136" s="855"/>
      <c r="AA136" s="855"/>
      <c r="AB136" s="855"/>
      <c r="AC136" s="855"/>
      <c r="AD136" s="855"/>
      <c r="AE136" s="855"/>
      <c r="AF136" s="855"/>
      <c r="AG136" s="855">
        <f t="shared" si="12"/>
        <v>63807840</v>
      </c>
      <c r="AH136" s="853"/>
      <c r="AI136" s="853" t="s">
        <v>954</v>
      </c>
      <c r="AJ136" s="853" t="s">
        <v>955</v>
      </c>
      <c r="AK136" s="853" t="s">
        <v>956</v>
      </c>
      <c r="AL136" s="853" t="s">
        <v>956</v>
      </c>
      <c r="AM136" s="853">
        <v>54.63</v>
      </c>
      <c r="AN136" s="857">
        <f t="shared" si="11"/>
        <v>54.63</v>
      </c>
    </row>
    <row r="137" spans="1:40" ht="105" x14ac:dyDescent="0.25">
      <c r="A137" s="1175"/>
      <c r="B137" s="1175"/>
      <c r="C137" s="1175"/>
      <c r="D137" s="1175"/>
      <c r="E137" s="1175"/>
      <c r="F137" s="1175"/>
      <c r="G137" s="1176"/>
      <c r="H137" s="1175"/>
      <c r="I137" s="853">
        <v>9</v>
      </c>
      <c r="J137" s="853" t="s">
        <v>957</v>
      </c>
      <c r="K137" s="853" t="s">
        <v>966</v>
      </c>
      <c r="L137" s="854" t="s">
        <v>1319</v>
      </c>
      <c r="M137" s="855">
        <v>56000000</v>
      </c>
      <c r="N137" s="853"/>
      <c r="O137" s="859" t="s">
        <v>967</v>
      </c>
      <c r="P137" s="856"/>
      <c r="Q137" s="856"/>
      <c r="R137" s="853" t="s">
        <v>968</v>
      </c>
      <c r="S137" s="855">
        <v>21000000</v>
      </c>
      <c r="T137" s="853" t="s">
        <v>969</v>
      </c>
      <c r="U137" s="855">
        <v>21000000</v>
      </c>
      <c r="V137" s="855"/>
      <c r="W137" s="855"/>
      <c r="X137" s="855"/>
      <c r="Y137" s="855"/>
      <c r="Z137" s="855"/>
      <c r="AA137" s="855"/>
      <c r="AB137" s="855"/>
      <c r="AC137" s="855"/>
      <c r="AD137" s="855"/>
      <c r="AE137" s="855"/>
      <c r="AF137" s="855"/>
      <c r="AG137" s="855">
        <f t="shared" si="12"/>
        <v>0</v>
      </c>
      <c r="AH137" s="853"/>
      <c r="AI137" s="853" t="s">
        <v>910</v>
      </c>
      <c r="AJ137" s="853" t="s">
        <v>970</v>
      </c>
      <c r="AK137" s="853" t="s">
        <v>971</v>
      </c>
      <c r="AL137" s="853" t="s">
        <v>971</v>
      </c>
      <c r="AM137" s="853">
        <v>0</v>
      </c>
      <c r="AN137" s="857">
        <f t="shared" si="11"/>
        <v>0</v>
      </c>
    </row>
    <row r="138" spans="1:40" ht="90" x14ac:dyDescent="0.25">
      <c r="A138" s="1175"/>
      <c r="B138" s="1175"/>
      <c r="C138" s="1175"/>
      <c r="D138" s="1175"/>
      <c r="E138" s="1175"/>
      <c r="F138" s="1175"/>
      <c r="G138" s="1176"/>
      <c r="H138" s="1175"/>
      <c r="I138" s="853">
        <v>10</v>
      </c>
      <c r="J138" s="853" t="s">
        <v>958</v>
      </c>
      <c r="K138" s="853" t="s">
        <v>965</v>
      </c>
      <c r="L138" s="858" t="s">
        <v>1313</v>
      </c>
      <c r="M138" s="855">
        <v>27899992</v>
      </c>
      <c r="N138" s="853" t="s">
        <v>350</v>
      </c>
      <c r="O138" s="856">
        <v>41514</v>
      </c>
      <c r="P138" s="856">
        <v>41639</v>
      </c>
      <c r="Q138" s="856"/>
      <c r="R138" s="853" t="s">
        <v>972</v>
      </c>
      <c r="S138" s="855">
        <v>20899992</v>
      </c>
      <c r="T138" s="853" t="s">
        <v>973</v>
      </c>
      <c r="U138" s="855">
        <v>20899992</v>
      </c>
      <c r="V138" s="855"/>
      <c r="W138" s="855">
        <f>U138*50.8%</f>
        <v>10617195.936000001</v>
      </c>
      <c r="X138" s="855"/>
      <c r="Y138" s="855"/>
      <c r="Z138" s="855"/>
      <c r="AA138" s="855"/>
      <c r="AB138" s="855"/>
      <c r="AC138" s="855"/>
      <c r="AD138" s="855"/>
      <c r="AE138" s="855"/>
      <c r="AF138" s="855"/>
      <c r="AG138" s="855">
        <f t="shared" si="12"/>
        <v>10617195.936000001</v>
      </c>
      <c r="AH138" s="853"/>
      <c r="AI138" s="853" t="s">
        <v>910</v>
      </c>
      <c r="AJ138" s="853" t="s">
        <v>975</v>
      </c>
      <c r="AK138" s="853" t="s">
        <v>974</v>
      </c>
      <c r="AL138" s="853" t="s">
        <v>974</v>
      </c>
      <c r="AM138" s="853">
        <v>50.8</v>
      </c>
      <c r="AN138" s="857">
        <f t="shared" si="11"/>
        <v>50.800000000000004</v>
      </c>
    </row>
    <row r="139" spans="1:40" ht="90" x14ac:dyDescent="0.25">
      <c r="A139" s="1175"/>
      <c r="B139" s="1175"/>
      <c r="C139" s="1175"/>
      <c r="D139" s="1175"/>
      <c r="E139" s="1175"/>
      <c r="F139" s="1175"/>
      <c r="G139" s="1176"/>
      <c r="H139" s="1175"/>
      <c r="I139" s="853">
        <v>11</v>
      </c>
      <c r="J139" s="853" t="s">
        <v>959</v>
      </c>
      <c r="K139" s="853" t="s">
        <v>964</v>
      </c>
      <c r="L139" s="858" t="s">
        <v>1314</v>
      </c>
      <c r="M139" s="855">
        <v>57000000</v>
      </c>
      <c r="N139" s="853" t="s">
        <v>335</v>
      </c>
      <c r="O139" s="856">
        <v>41523</v>
      </c>
      <c r="P139" s="856">
        <v>41639</v>
      </c>
      <c r="Q139" s="856"/>
      <c r="R139" s="853" t="s">
        <v>976</v>
      </c>
      <c r="S139" s="855">
        <v>50000000</v>
      </c>
      <c r="T139" s="853" t="s">
        <v>977</v>
      </c>
      <c r="U139" s="855">
        <v>50000000</v>
      </c>
      <c r="V139" s="855"/>
      <c r="W139" s="855"/>
      <c r="X139" s="855"/>
      <c r="Y139" s="855"/>
      <c r="Z139" s="855"/>
      <c r="AA139" s="855"/>
      <c r="AB139" s="855"/>
      <c r="AC139" s="855"/>
      <c r="AD139" s="855"/>
      <c r="AE139" s="855"/>
      <c r="AF139" s="855"/>
      <c r="AG139" s="855">
        <f t="shared" si="12"/>
        <v>0</v>
      </c>
      <c r="AH139" s="853"/>
      <c r="AI139" s="853" t="s">
        <v>910</v>
      </c>
      <c r="AJ139" s="853" t="s">
        <v>982</v>
      </c>
      <c r="AK139" s="853" t="s">
        <v>978</v>
      </c>
      <c r="AL139" s="853" t="s">
        <v>978</v>
      </c>
      <c r="AM139" s="853">
        <v>0</v>
      </c>
      <c r="AN139" s="857">
        <f t="shared" si="11"/>
        <v>0</v>
      </c>
    </row>
    <row r="140" spans="1:40" ht="90" x14ac:dyDescent="0.25">
      <c r="A140" s="1175"/>
      <c r="B140" s="1175"/>
      <c r="C140" s="1175"/>
      <c r="D140" s="1175"/>
      <c r="E140" s="1175"/>
      <c r="F140" s="1175"/>
      <c r="G140" s="1176"/>
      <c r="H140" s="1175"/>
      <c r="I140" s="853">
        <v>12</v>
      </c>
      <c r="J140" s="853" t="s">
        <v>960</v>
      </c>
      <c r="K140" s="853" t="s">
        <v>963</v>
      </c>
      <c r="L140" s="858" t="s">
        <v>1314</v>
      </c>
      <c r="M140" s="855">
        <v>53400000</v>
      </c>
      <c r="N140" s="853" t="s">
        <v>329</v>
      </c>
      <c r="O140" s="856">
        <v>41568</v>
      </c>
      <c r="P140" s="856">
        <v>41639</v>
      </c>
      <c r="Q140" s="856"/>
      <c r="R140" s="853" t="s">
        <v>979</v>
      </c>
      <c r="S140" s="855">
        <v>53400000</v>
      </c>
      <c r="T140" s="853" t="s">
        <v>980</v>
      </c>
      <c r="U140" s="855">
        <v>53400000</v>
      </c>
      <c r="V140" s="855"/>
      <c r="W140" s="855">
        <v>53400000</v>
      </c>
      <c r="X140" s="855"/>
      <c r="Y140" s="855"/>
      <c r="Z140" s="855"/>
      <c r="AA140" s="855"/>
      <c r="AB140" s="855"/>
      <c r="AC140" s="855"/>
      <c r="AD140" s="855"/>
      <c r="AE140" s="855"/>
      <c r="AF140" s="855"/>
      <c r="AG140" s="855">
        <f t="shared" si="12"/>
        <v>53400000</v>
      </c>
      <c r="AH140" s="853" t="s">
        <v>237</v>
      </c>
      <c r="AI140" s="853" t="s">
        <v>910</v>
      </c>
      <c r="AJ140" s="853" t="s">
        <v>983</v>
      </c>
      <c r="AK140" s="853" t="s">
        <v>981</v>
      </c>
      <c r="AL140" s="853" t="s">
        <v>981</v>
      </c>
      <c r="AM140" s="853">
        <v>100</v>
      </c>
      <c r="AN140" s="857">
        <f t="shared" si="11"/>
        <v>100</v>
      </c>
    </row>
    <row r="141" spans="1:40" ht="135" x14ac:dyDescent="0.25">
      <c r="A141" s="1175"/>
      <c r="B141" s="1175"/>
      <c r="C141" s="1175"/>
      <c r="D141" s="1175"/>
      <c r="E141" s="1175"/>
      <c r="F141" s="1175"/>
      <c r="G141" s="1176"/>
      <c r="H141" s="1175"/>
      <c r="I141" s="853">
        <v>13</v>
      </c>
      <c r="J141" s="853" t="s">
        <v>961</v>
      </c>
      <c r="K141" s="853" t="s">
        <v>1364</v>
      </c>
      <c r="L141" s="858" t="s">
        <v>1315</v>
      </c>
      <c r="M141" s="855">
        <v>51000000</v>
      </c>
      <c r="N141" s="853"/>
      <c r="O141" s="859" t="s">
        <v>967</v>
      </c>
      <c r="P141" s="856"/>
      <c r="Q141" s="856"/>
      <c r="R141" s="853" t="s">
        <v>985</v>
      </c>
      <c r="S141" s="855">
        <v>51000000</v>
      </c>
      <c r="T141" s="853" t="s">
        <v>984</v>
      </c>
      <c r="U141" s="855">
        <v>51000000</v>
      </c>
      <c r="V141" s="855"/>
      <c r="W141" s="855"/>
      <c r="X141" s="855"/>
      <c r="Y141" s="855"/>
      <c r="Z141" s="855"/>
      <c r="AA141" s="855"/>
      <c r="AB141" s="855"/>
      <c r="AC141" s="855"/>
      <c r="AD141" s="855"/>
      <c r="AE141" s="855"/>
      <c r="AF141" s="855"/>
      <c r="AG141" s="855">
        <f t="shared" si="12"/>
        <v>0</v>
      </c>
      <c r="AH141" s="853"/>
      <c r="AI141" s="853" t="s">
        <v>910</v>
      </c>
      <c r="AJ141" s="853" t="s">
        <v>986</v>
      </c>
      <c r="AK141" s="853" t="s">
        <v>1304</v>
      </c>
      <c r="AL141" s="853" t="s">
        <v>1303</v>
      </c>
      <c r="AM141" s="853"/>
      <c r="AN141" s="857">
        <f t="shared" si="11"/>
        <v>0</v>
      </c>
    </row>
    <row r="142" spans="1:40" x14ac:dyDescent="0.25">
      <c r="A142" s="860"/>
      <c r="B142" s="860"/>
      <c r="C142" s="860"/>
      <c r="D142" s="860"/>
      <c r="E142" s="860"/>
      <c r="F142" s="860"/>
      <c r="G142" s="860"/>
      <c r="H142" s="860"/>
      <c r="I142" s="853"/>
      <c r="J142" s="853"/>
      <c r="K142" s="853"/>
      <c r="L142" s="853"/>
      <c r="M142" s="855">
        <f>SUM(M129:M141)</f>
        <v>637799992</v>
      </c>
      <c r="N142" s="853"/>
      <c r="O142" s="859"/>
      <c r="P142" s="856"/>
      <c r="Q142" s="856"/>
      <c r="R142" s="853"/>
      <c r="S142" s="855"/>
      <c r="T142" s="853"/>
      <c r="U142" s="855">
        <f>SUM(U129:U141)</f>
        <v>570399992</v>
      </c>
      <c r="V142" s="855"/>
      <c r="W142" s="855"/>
      <c r="X142" s="855"/>
      <c r="Y142" s="855"/>
      <c r="Z142" s="855"/>
      <c r="AA142" s="855"/>
      <c r="AB142" s="855"/>
      <c r="AC142" s="855"/>
      <c r="AD142" s="855"/>
      <c r="AE142" s="855"/>
      <c r="AF142" s="855"/>
      <c r="AG142" s="855">
        <f>SUM(AG129:AG141)</f>
        <v>339663035.93599999</v>
      </c>
      <c r="AH142" s="853"/>
      <c r="AI142" s="853"/>
      <c r="AJ142" s="853"/>
      <c r="AK142" s="853"/>
      <c r="AL142" s="853"/>
      <c r="AM142" s="853">
        <f>SUM(AM129:AM141)/13</f>
        <v>53.667692307692306</v>
      </c>
      <c r="AN142" s="853">
        <f>SUM(AN129:AN141)/13</f>
        <v>52.802873303167424</v>
      </c>
    </row>
    <row r="143" spans="1:40" ht="90" x14ac:dyDescent="0.25">
      <c r="A143" s="1177">
        <v>29</v>
      </c>
      <c r="B143" s="1177" t="s">
        <v>390</v>
      </c>
      <c r="C143" s="1177" t="s">
        <v>1351</v>
      </c>
      <c r="D143" s="1177">
        <v>2013</v>
      </c>
      <c r="E143" s="1178" t="s">
        <v>1373</v>
      </c>
      <c r="F143" s="1178" t="s">
        <v>1045</v>
      </c>
      <c r="G143" s="1179">
        <v>369000000</v>
      </c>
      <c r="H143" s="1178" t="s">
        <v>1044</v>
      </c>
      <c r="I143" s="828">
        <v>1</v>
      </c>
      <c r="J143" s="828" t="s">
        <v>907</v>
      </c>
      <c r="K143" s="828" t="s">
        <v>991</v>
      </c>
      <c r="L143" s="861" t="s">
        <v>1320</v>
      </c>
      <c r="M143" s="830">
        <v>55000000</v>
      </c>
      <c r="N143" s="495" t="s">
        <v>350</v>
      </c>
      <c r="O143" s="862">
        <v>41492</v>
      </c>
      <c r="P143" s="862">
        <v>41639</v>
      </c>
      <c r="Q143" s="862">
        <v>41639</v>
      </c>
      <c r="R143" s="828" t="s">
        <v>996</v>
      </c>
      <c r="S143" s="863">
        <f>90000000+150000000</f>
        <v>240000000</v>
      </c>
      <c r="T143" s="828" t="s">
        <v>997</v>
      </c>
      <c r="U143" s="863">
        <v>55000000</v>
      </c>
      <c r="V143" s="863"/>
      <c r="W143" s="863">
        <f>U143*0.29</f>
        <v>15949999.999999998</v>
      </c>
      <c r="X143" s="863">
        <f>U143*0.463</f>
        <v>25465000</v>
      </c>
      <c r="Y143" s="863">
        <f>U143*0.247</f>
        <v>13585000</v>
      </c>
      <c r="Z143" s="863"/>
      <c r="AA143" s="863"/>
      <c r="AB143" s="863"/>
      <c r="AC143" s="863"/>
      <c r="AD143" s="863"/>
      <c r="AE143" s="863"/>
      <c r="AF143" s="863"/>
      <c r="AG143" s="863">
        <f>SUM(V143:AF143)</f>
        <v>55000000</v>
      </c>
      <c r="AH143" s="495" t="s">
        <v>237</v>
      </c>
      <c r="AI143" s="828" t="s">
        <v>910</v>
      </c>
      <c r="AJ143" s="828" t="s">
        <v>999</v>
      </c>
      <c r="AK143" s="828" t="s">
        <v>1000</v>
      </c>
      <c r="AL143" s="828" t="s">
        <v>1305</v>
      </c>
      <c r="AM143" s="495">
        <v>100</v>
      </c>
      <c r="AN143" s="864">
        <f>(AG143*100)/U143</f>
        <v>100</v>
      </c>
    </row>
    <row r="144" spans="1:40" ht="90" x14ac:dyDescent="0.25">
      <c r="A144" s="1177"/>
      <c r="B144" s="1177"/>
      <c r="C144" s="1177"/>
      <c r="D144" s="1177"/>
      <c r="E144" s="1178"/>
      <c r="F144" s="1178"/>
      <c r="G144" s="1180"/>
      <c r="H144" s="1177"/>
      <c r="I144" s="828">
        <v>2</v>
      </c>
      <c r="J144" s="828" t="s">
        <v>912</v>
      </c>
      <c r="K144" s="828" t="s">
        <v>992</v>
      </c>
      <c r="L144" s="865" t="s">
        <v>1309</v>
      </c>
      <c r="M144" s="830">
        <v>30000000</v>
      </c>
      <c r="N144" s="495" t="s">
        <v>350</v>
      </c>
      <c r="O144" s="862">
        <v>41492</v>
      </c>
      <c r="P144" s="862">
        <v>41639</v>
      </c>
      <c r="Q144" s="862"/>
      <c r="R144" s="828" t="s">
        <v>1001</v>
      </c>
      <c r="S144" s="863">
        <v>90000000</v>
      </c>
      <c r="T144" s="828" t="s">
        <v>1002</v>
      </c>
      <c r="U144" s="863">
        <v>30000000</v>
      </c>
      <c r="V144" s="863"/>
      <c r="W144" s="863">
        <f>U144*45%</f>
        <v>13500000</v>
      </c>
      <c r="X144" s="863"/>
      <c r="Y144" s="863"/>
      <c r="Z144" s="863"/>
      <c r="AA144" s="863"/>
      <c r="AB144" s="863"/>
      <c r="AC144" s="863"/>
      <c r="AD144" s="863"/>
      <c r="AE144" s="863"/>
      <c r="AF144" s="863"/>
      <c r="AG144" s="863">
        <f>SUM(V144:AF144)</f>
        <v>13500000</v>
      </c>
      <c r="AH144" s="495"/>
      <c r="AI144" s="828" t="s">
        <v>910</v>
      </c>
      <c r="AJ144" s="828" t="s">
        <v>1003</v>
      </c>
      <c r="AK144" s="828" t="s">
        <v>1306</v>
      </c>
      <c r="AL144" s="828" t="s">
        <v>1306</v>
      </c>
      <c r="AM144" s="495">
        <v>45</v>
      </c>
      <c r="AN144" s="864">
        <f>(AG144*100)/U144</f>
        <v>45</v>
      </c>
    </row>
    <row r="145" spans="1:40" ht="90" x14ac:dyDescent="0.25">
      <c r="A145" s="1177"/>
      <c r="B145" s="1177"/>
      <c r="C145" s="1177"/>
      <c r="D145" s="1177"/>
      <c r="E145" s="1178"/>
      <c r="F145" s="1178"/>
      <c r="G145" s="1180"/>
      <c r="H145" s="1177"/>
      <c r="I145" s="828">
        <v>3</v>
      </c>
      <c r="J145" s="828" t="s">
        <v>987</v>
      </c>
      <c r="K145" s="828" t="s">
        <v>993</v>
      </c>
      <c r="L145" s="828" t="s">
        <v>1321</v>
      </c>
      <c r="M145" s="830">
        <v>100000000</v>
      </c>
      <c r="N145" s="495" t="s">
        <v>457</v>
      </c>
      <c r="O145" s="862">
        <v>41498</v>
      </c>
      <c r="P145" s="862">
        <v>41650</v>
      </c>
      <c r="Q145" s="862"/>
      <c r="R145" s="828" t="s">
        <v>1004</v>
      </c>
      <c r="S145" s="863">
        <v>100000000</v>
      </c>
      <c r="T145" s="828" t="s">
        <v>1005</v>
      </c>
      <c r="U145" s="863">
        <v>100000000</v>
      </c>
      <c r="V145" s="863"/>
      <c r="W145" s="863"/>
      <c r="X145" s="863"/>
      <c r="Y145" s="863"/>
      <c r="Z145" s="863"/>
      <c r="AA145" s="863"/>
      <c r="AB145" s="863"/>
      <c r="AC145" s="863"/>
      <c r="AD145" s="863"/>
      <c r="AE145" s="863"/>
      <c r="AF145" s="863"/>
      <c r="AG145" s="863">
        <f t="shared" ref="AG145:AG167" si="13">SUM(V145:AF145)</f>
        <v>0</v>
      </c>
      <c r="AH145" s="495"/>
      <c r="AI145" s="828" t="s">
        <v>910</v>
      </c>
      <c r="AJ145" s="828" t="s">
        <v>1006</v>
      </c>
      <c r="AK145" s="828" t="s">
        <v>1007</v>
      </c>
      <c r="AL145" s="828" t="s">
        <v>1007</v>
      </c>
      <c r="AM145" s="495"/>
      <c r="AN145" s="864">
        <f t="shared" ref="AN145:AN152" si="14">(AG145*100)/U145</f>
        <v>0</v>
      </c>
    </row>
    <row r="146" spans="1:40" ht="90" x14ac:dyDescent="0.25">
      <c r="A146" s="1177"/>
      <c r="B146" s="1177"/>
      <c r="C146" s="1177"/>
      <c r="D146" s="1177"/>
      <c r="E146" s="1178"/>
      <c r="F146" s="1178"/>
      <c r="G146" s="1180"/>
      <c r="H146" s="1177"/>
      <c r="I146" s="828">
        <v>4</v>
      </c>
      <c r="J146" s="828" t="s">
        <v>988</v>
      </c>
      <c r="K146" s="828" t="s">
        <v>994</v>
      </c>
      <c r="L146" s="828" t="s">
        <v>1322</v>
      </c>
      <c r="M146" s="830">
        <v>25000000</v>
      </c>
      <c r="N146" s="495" t="s">
        <v>350</v>
      </c>
      <c r="O146" s="862">
        <v>41515</v>
      </c>
      <c r="P146" s="829">
        <v>41639</v>
      </c>
      <c r="Q146" s="829"/>
      <c r="R146" s="828" t="s">
        <v>1008</v>
      </c>
      <c r="S146" s="830">
        <v>150000000</v>
      </c>
      <c r="T146" s="828" t="s">
        <v>1009</v>
      </c>
      <c r="U146" s="863">
        <v>25000000</v>
      </c>
      <c r="V146" s="863"/>
      <c r="W146" s="863">
        <f>U146*43.75%</f>
        <v>10937500</v>
      </c>
      <c r="X146" s="863"/>
      <c r="Y146" s="863"/>
      <c r="Z146" s="863"/>
      <c r="AA146" s="863"/>
      <c r="AB146" s="863"/>
      <c r="AC146" s="863"/>
      <c r="AD146" s="863"/>
      <c r="AE146" s="863"/>
      <c r="AF146" s="863"/>
      <c r="AG146" s="863">
        <f t="shared" si="13"/>
        <v>10937500</v>
      </c>
      <c r="AH146" s="495"/>
      <c r="AI146" s="828" t="s">
        <v>910</v>
      </c>
      <c r="AJ146" s="828" t="s">
        <v>1010</v>
      </c>
      <c r="AK146" s="828" t="s">
        <v>1011</v>
      </c>
      <c r="AL146" s="828" t="s">
        <v>1011</v>
      </c>
      <c r="AM146" s="495">
        <v>43.75</v>
      </c>
      <c r="AN146" s="864">
        <f t="shared" si="14"/>
        <v>43.75</v>
      </c>
    </row>
    <row r="147" spans="1:40" ht="105" x14ac:dyDescent="0.25">
      <c r="A147" s="1177"/>
      <c r="B147" s="1177"/>
      <c r="C147" s="1177"/>
      <c r="D147" s="1177"/>
      <c r="E147" s="1178"/>
      <c r="F147" s="1178"/>
      <c r="G147" s="1180"/>
      <c r="H147" s="1177"/>
      <c r="I147" s="828">
        <v>5</v>
      </c>
      <c r="J147" s="828" t="s">
        <v>989</v>
      </c>
      <c r="K147" s="828" t="s">
        <v>995</v>
      </c>
      <c r="L147" s="828" t="s">
        <v>1323</v>
      </c>
      <c r="M147" s="830">
        <v>29000000</v>
      </c>
      <c r="N147" s="495" t="s">
        <v>350</v>
      </c>
      <c r="O147" s="862">
        <v>41499</v>
      </c>
      <c r="P147" s="829">
        <v>41639</v>
      </c>
      <c r="Q147" s="829"/>
      <c r="R147" s="828" t="s">
        <v>1012</v>
      </c>
      <c r="S147" s="830">
        <v>29000000</v>
      </c>
      <c r="T147" s="828" t="s">
        <v>1013</v>
      </c>
      <c r="U147" s="863">
        <v>29000000</v>
      </c>
      <c r="V147" s="863"/>
      <c r="W147" s="863">
        <v>22750000</v>
      </c>
      <c r="X147" s="863">
        <v>6250000</v>
      </c>
      <c r="Y147" s="863"/>
      <c r="Z147" s="863"/>
      <c r="AA147" s="863"/>
      <c r="AB147" s="863"/>
      <c r="AC147" s="863"/>
      <c r="AD147" s="863"/>
      <c r="AE147" s="863"/>
      <c r="AF147" s="863"/>
      <c r="AG147" s="863">
        <f t="shared" si="13"/>
        <v>29000000</v>
      </c>
      <c r="AH147" s="495" t="s">
        <v>237</v>
      </c>
      <c r="AI147" s="828" t="s">
        <v>910</v>
      </c>
      <c r="AJ147" s="495"/>
      <c r="AK147" s="828" t="s">
        <v>1019</v>
      </c>
      <c r="AL147" s="828" t="s">
        <v>1019</v>
      </c>
      <c r="AM147" s="495">
        <v>100</v>
      </c>
      <c r="AN147" s="864">
        <f t="shared" si="14"/>
        <v>100</v>
      </c>
    </row>
    <row r="148" spans="1:40" ht="120" x14ac:dyDescent="0.25">
      <c r="A148" s="1177"/>
      <c r="B148" s="1177"/>
      <c r="C148" s="1177"/>
      <c r="D148" s="1177"/>
      <c r="E148" s="1178"/>
      <c r="F148" s="1178"/>
      <c r="G148" s="1180"/>
      <c r="H148" s="1177"/>
      <c r="I148" s="828">
        <v>6</v>
      </c>
      <c r="J148" s="828" t="s">
        <v>932</v>
      </c>
      <c r="K148" s="828" t="s">
        <v>933</v>
      </c>
      <c r="L148" s="828" t="s">
        <v>1312</v>
      </c>
      <c r="M148" s="830">
        <v>70000000</v>
      </c>
      <c r="N148" s="495" t="s">
        <v>350</v>
      </c>
      <c r="O148" s="862">
        <v>41501</v>
      </c>
      <c r="P148" s="829">
        <v>41639</v>
      </c>
      <c r="Q148" s="829"/>
      <c r="R148" s="828" t="s">
        <v>1014</v>
      </c>
      <c r="S148" s="830">
        <f>150000000+70000000</f>
        <v>220000000</v>
      </c>
      <c r="T148" s="828" t="s">
        <v>1015</v>
      </c>
      <c r="U148" s="863">
        <f>25000000+70000000</f>
        <v>95000000</v>
      </c>
      <c r="V148" s="863"/>
      <c r="W148" s="863">
        <v>0</v>
      </c>
      <c r="X148" s="863"/>
      <c r="Y148" s="863"/>
      <c r="Z148" s="863"/>
      <c r="AA148" s="863"/>
      <c r="AB148" s="863"/>
      <c r="AC148" s="863"/>
      <c r="AD148" s="863"/>
      <c r="AE148" s="863"/>
      <c r="AF148" s="863"/>
      <c r="AG148" s="863">
        <f t="shared" si="13"/>
        <v>0</v>
      </c>
      <c r="AH148" s="495"/>
      <c r="AI148" s="828" t="s">
        <v>910</v>
      </c>
      <c r="AJ148" s="828" t="s">
        <v>1021</v>
      </c>
      <c r="AK148" s="828" t="s">
        <v>1020</v>
      </c>
      <c r="AL148" s="828"/>
      <c r="AM148" s="495">
        <v>0</v>
      </c>
      <c r="AN148" s="864">
        <f t="shared" si="14"/>
        <v>0</v>
      </c>
    </row>
    <row r="149" spans="1:40" ht="90" x14ac:dyDescent="0.25">
      <c r="A149" s="1177"/>
      <c r="B149" s="1177"/>
      <c r="C149" s="1177"/>
      <c r="D149" s="1177"/>
      <c r="E149" s="1178"/>
      <c r="F149" s="1178"/>
      <c r="G149" s="1180"/>
      <c r="H149" s="1177"/>
      <c r="I149" s="828">
        <v>7</v>
      </c>
      <c r="J149" s="828" t="s">
        <v>990</v>
      </c>
      <c r="K149" s="828" t="s">
        <v>940</v>
      </c>
      <c r="L149" s="828" t="s">
        <v>1317</v>
      </c>
      <c r="M149" s="830">
        <v>30000000</v>
      </c>
      <c r="N149" s="495" t="s">
        <v>350</v>
      </c>
      <c r="O149" s="862">
        <v>41507</v>
      </c>
      <c r="P149" s="829">
        <v>41639</v>
      </c>
      <c r="Q149" s="829"/>
      <c r="R149" s="828" t="s">
        <v>1016</v>
      </c>
      <c r="S149" s="830">
        <v>90000000</v>
      </c>
      <c r="T149" s="828" t="s">
        <v>1017</v>
      </c>
      <c r="U149" s="863">
        <v>30000000</v>
      </c>
      <c r="V149" s="863"/>
      <c r="W149" s="863"/>
      <c r="X149" s="863"/>
      <c r="Y149" s="863"/>
      <c r="Z149" s="863"/>
      <c r="AA149" s="863"/>
      <c r="AB149" s="863"/>
      <c r="AC149" s="863"/>
      <c r="AD149" s="863"/>
      <c r="AE149" s="863"/>
      <c r="AF149" s="863"/>
      <c r="AG149" s="863">
        <f t="shared" si="13"/>
        <v>0</v>
      </c>
      <c r="AH149" s="495"/>
      <c r="AI149" s="495"/>
      <c r="AJ149" s="828" t="s">
        <v>1022</v>
      </c>
      <c r="AK149" s="828" t="s">
        <v>1024</v>
      </c>
      <c r="AL149" s="828" t="s">
        <v>1024</v>
      </c>
      <c r="AM149" s="495"/>
      <c r="AN149" s="864">
        <f t="shared" si="14"/>
        <v>0</v>
      </c>
    </row>
    <row r="150" spans="1:40" ht="90" x14ac:dyDescent="0.25">
      <c r="A150" s="1177"/>
      <c r="B150" s="1177"/>
      <c r="C150" s="1177"/>
      <c r="D150" s="1177"/>
      <c r="E150" s="1178"/>
      <c r="F150" s="1178"/>
      <c r="G150" s="1180"/>
      <c r="H150" s="1177"/>
      <c r="I150" s="828">
        <v>8</v>
      </c>
      <c r="J150" s="828" t="s">
        <v>948</v>
      </c>
      <c r="K150" s="828" t="s">
        <v>962</v>
      </c>
      <c r="L150" s="828" t="s">
        <v>1324</v>
      </c>
      <c r="M150" s="830">
        <v>25000000</v>
      </c>
      <c r="N150" s="495" t="s">
        <v>350</v>
      </c>
      <c r="O150" s="862">
        <v>41513</v>
      </c>
      <c r="P150" s="829" t="s">
        <v>1030</v>
      </c>
      <c r="Q150" s="829"/>
      <c r="R150" s="828" t="s">
        <v>1008</v>
      </c>
      <c r="S150" s="830">
        <v>150000000</v>
      </c>
      <c r="T150" s="828" t="s">
        <v>1018</v>
      </c>
      <c r="U150" s="863">
        <v>25000000</v>
      </c>
      <c r="V150" s="863"/>
      <c r="W150" s="863">
        <v>8000000</v>
      </c>
      <c r="X150" s="863">
        <v>17000000</v>
      </c>
      <c r="Y150" s="863"/>
      <c r="Z150" s="863"/>
      <c r="AA150" s="863"/>
      <c r="AB150" s="863"/>
      <c r="AC150" s="863"/>
      <c r="AD150" s="863"/>
      <c r="AE150" s="863"/>
      <c r="AF150" s="863"/>
      <c r="AG150" s="863">
        <f t="shared" si="13"/>
        <v>25000000</v>
      </c>
      <c r="AH150" s="495" t="s">
        <v>237</v>
      </c>
      <c r="AI150" s="828" t="s">
        <v>910</v>
      </c>
      <c r="AJ150" s="828" t="s">
        <v>1023</v>
      </c>
      <c r="AK150" s="828" t="s">
        <v>1025</v>
      </c>
      <c r="AL150" s="828" t="s">
        <v>1025</v>
      </c>
      <c r="AM150" s="495">
        <v>100</v>
      </c>
      <c r="AN150" s="864">
        <f t="shared" si="14"/>
        <v>100</v>
      </c>
    </row>
    <row r="151" spans="1:40" ht="90" x14ac:dyDescent="0.25">
      <c r="A151" s="1177"/>
      <c r="B151" s="1177"/>
      <c r="C151" s="1177"/>
      <c r="D151" s="1177"/>
      <c r="E151" s="1178"/>
      <c r="F151" s="1178"/>
      <c r="G151" s="1180"/>
      <c r="H151" s="1177"/>
      <c r="I151" s="828">
        <v>9</v>
      </c>
      <c r="J151" s="828" t="s">
        <v>960</v>
      </c>
      <c r="K151" s="828" t="s">
        <v>1026</v>
      </c>
      <c r="L151" s="828" t="s">
        <v>1314</v>
      </c>
      <c r="M151" s="830">
        <v>25000000</v>
      </c>
      <c r="N151" s="495" t="s">
        <v>329</v>
      </c>
      <c r="O151" s="862">
        <v>41568</v>
      </c>
      <c r="P151" s="829">
        <v>41639</v>
      </c>
      <c r="Q151" s="829"/>
      <c r="R151" s="828" t="s">
        <v>1008</v>
      </c>
      <c r="S151" s="830">
        <v>150000000</v>
      </c>
      <c r="T151" s="828" t="s">
        <v>1033</v>
      </c>
      <c r="U151" s="863">
        <v>25000000</v>
      </c>
      <c r="V151" s="863"/>
      <c r="W151" s="863">
        <v>25000000</v>
      </c>
      <c r="X151" s="863"/>
      <c r="Y151" s="863"/>
      <c r="Z151" s="863"/>
      <c r="AA151" s="863"/>
      <c r="AB151" s="863"/>
      <c r="AC151" s="863"/>
      <c r="AD151" s="863"/>
      <c r="AE151" s="863"/>
      <c r="AF151" s="863"/>
      <c r="AG151" s="863">
        <f t="shared" si="13"/>
        <v>25000000</v>
      </c>
      <c r="AH151" s="495" t="s">
        <v>237</v>
      </c>
      <c r="AI151" s="866" t="s">
        <v>910</v>
      </c>
      <c r="AJ151" s="828" t="s">
        <v>1036</v>
      </c>
      <c r="AK151" s="828" t="s">
        <v>1039</v>
      </c>
      <c r="AL151" s="828" t="s">
        <v>1039</v>
      </c>
      <c r="AM151" s="495">
        <v>100</v>
      </c>
      <c r="AN151" s="864">
        <f t="shared" si="14"/>
        <v>100</v>
      </c>
    </row>
    <row r="152" spans="1:40" ht="105" x14ac:dyDescent="0.25">
      <c r="A152" s="1177"/>
      <c r="B152" s="1177"/>
      <c r="C152" s="1177"/>
      <c r="D152" s="1177"/>
      <c r="E152" s="1178"/>
      <c r="F152" s="1178"/>
      <c r="G152" s="1180"/>
      <c r="H152" s="1177"/>
      <c r="I152" s="828">
        <v>10</v>
      </c>
      <c r="J152" s="828" t="s">
        <v>1027</v>
      </c>
      <c r="K152" s="828" t="s">
        <v>1365</v>
      </c>
      <c r="L152" s="828" t="s">
        <v>1315</v>
      </c>
      <c r="M152" s="830">
        <v>25000000</v>
      </c>
      <c r="N152" s="495" t="s">
        <v>1031</v>
      </c>
      <c r="O152" s="867" t="s">
        <v>967</v>
      </c>
      <c r="P152" s="829"/>
      <c r="Q152" s="829"/>
      <c r="R152" s="828" t="s">
        <v>1008</v>
      </c>
      <c r="S152" s="830">
        <v>150000000</v>
      </c>
      <c r="T152" s="828" t="s">
        <v>1034</v>
      </c>
      <c r="U152" s="863">
        <v>25000000</v>
      </c>
      <c r="V152" s="863"/>
      <c r="W152" s="863"/>
      <c r="X152" s="863"/>
      <c r="Y152" s="863"/>
      <c r="Z152" s="863"/>
      <c r="AA152" s="863"/>
      <c r="AB152" s="863"/>
      <c r="AC152" s="863"/>
      <c r="AD152" s="863"/>
      <c r="AE152" s="863"/>
      <c r="AF152" s="863"/>
      <c r="AG152" s="863">
        <f t="shared" si="13"/>
        <v>0</v>
      </c>
      <c r="AH152" s="495"/>
      <c r="AI152" s="866" t="s">
        <v>910</v>
      </c>
      <c r="AJ152" s="828" t="s">
        <v>1037</v>
      </c>
      <c r="AK152" s="828" t="s">
        <v>1040</v>
      </c>
      <c r="AL152" s="828" t="s">
        <v>1040</v>
      </c>
      <c r="AM152" s="495">
        <v>0</v>
      </c>
      <c r="AN152" s="864">
        <f t="shared" si="14"/>
        <v>0</v>
      </c>
    </row>
    <row r="153" spans="1:40" ht="90" x14ac:dyDescent="0.25">
      <c r="A153" s="1177"/>
      <c r="B153" s="1177"/>
      <c r="C153" s="1177"/>
      <c r="D153" s="1177"/>
      <c r="E153" s="1178"/>
      <c r="F153" s="1178"/>
      <c r="G153" s="1181"/>
      <c r="H153" s="1177"/>
      <c r="I153" s="828">
        <v>11</v>
      </c>
      <c r="J153" s="496" t="s">
        <v>1028</v>
      </c>
      <c r="K153" s="828" t="s">
        <v>1029</v>
      </c>
      <c r="L153" s="828" t="s">
        <v>1325</v>
      </c>
      <c r="M153" s="830">
        <v>52840000</v>
      </c>
      <c r="N153" s="694" t="s">
        <v>1059</v>
      </c>
      <c r="O153" s="862">
        <v>41593</v>
      </c>
      <c r="P153" s="868">
        <v>41611</v>
      </c>
      <c r="Q153" s="869"/>
      <c r="R153" s="496" t="s">
        <v>1032</v>
      </c>
      <c r="S153" s="830">
        <v>40000000</v>
      </c>
      <c r="T153" s="496" t="s">
        <v>1035</v>
      </c>
      <c r="U153" s="863">
        <v>4000000</v>
      </c>
      <c r="V153" s="869"/>
      <c r="W153" s="869"/>
      <c r="X153" s="869"/>
      <c r="Y153" s="869"/>
      <c r="Z153" s="869"/>
      <c r="AA153" s="869"/>
      <c r="AB153" s="869"/>
      <c r="AC153" s="869"/>
      <c r="AD153" s="869"/>
      <c r="AE153" s="869"/>
      <c r="AF153" s="869"/>
      <c r="AG153" s="863">
        <f t="shared" si="13"/>
        <v>0</v>
      </c>
      <c r="AH153" s="869"/>
      <c r="AI153" s="866" t="s">
        <v>910</v>
      </c>
      <c r="AJ153" s="828" t="s">
        <v>1038</v>
      </c>
      <c r="AK153" s="496" t="s">
        <v>1041</v>
      </c>
      <c r="AL153" s="496" t="s">
        <v>1041</v>
      </c>
      <c r="AM153" s="495">
        <v>0</v>
      </c>
      <c r="AN153" s="864">
        <f>(AG153*100)/U153</f>
        <v>0</v>
      </c>
    </row>
    <row r="154" spans="1:40" x14ac:dyDescent="0.25">
      <c r="A154" s="870"/>
      <c r="B154" s="870"/>
      <c r="C154" s="870"/>
      <c r="D154" s="870"/>
      <c r="E154" s="871"/>
      <c r="F154" s="870"/>
      <c r="G154" s="871"/>
      <c r="H154" s="870"/>
      <c r="I154" s="828"/>
      <c r="J154" s="496"/>
      <c r="K154" s="828"/>
      <c r="L154" s="872"/>
      <c r="M154" s="873">
        <f>SUM(M143:M153)</f>
        <v>466840000</v>
      </c>
      <c r="N154" s="870"/>
      <c r="O154" s="874"/>
      <c r="P154" s="875"/>
      <c r="Q154" s="876"/>
      <c r="R154" s="871"/>
      <c r="S154" s="877"/>
      <c r="T154" s="871"/>
      <c r="U154" s="878">
        <f>SUM(U143:U153)</f>
        <v>443000000</v>
      </c>
      <c r="V154" s="876"/>
      <c r="W154" s="876"/>
      <c r="X154" s="876"/>
      <c r="Y154" s="876"/>
      <c r="Z154" s="876"/>
      <c r="AA154" s="876"/>
      <c r="AB154" s="876"/>
      <c r="AC154" s="876"/>
      <c r="AD154" s="876"/>
      <c r="AE154" s="876"/>
      <c r="AF154" s="876"/>
      <c r="AG154" s="863">
        <f>SUM(AG143:AG153)</f>
        <v>158437500</v>
      </c>
      <c r="AH154" s="876"/>
      <c r="AI154" s="879"/>
      <c r="AJ154" s="880"/>
      <c r="AK154" s="871"/>
      <c r="AL154" s="876"/>
      <c r="AM154" s="881">
        <f>SUM(AM143:AM153)/11</f>
        <v>44.43181818181818</v>
      </c>
      <c r="AN154" s="881">
        <f>SUM(AN143:AN153)/11</f>
        <v>44.43181818181818</v>
      </c>
    </row>
    <row r="155" spans="1:40" ht="90" x14ac:dyDescent="0.25">
      <c r="A155" s="1182">
        <v>30</v>
      </c>
      <c r="B155" s="1182" t="s">
        <v>390</v>
      </c>
      <c r="C155" s="1182" t="s">
        <v>1351</v>
      </c>
      <c r="D155" s="1182">
        <v>2013</v>
      </c>
      <c r="E155" s="1185" t="s">
        <v>1372</v>
      </c>
      <c r="F155" s="1185" t="s">
        <v>1112</v>
      </c>
      <c r="G155" s="1186">
        <v>158300000</v>
      </c>
      <c r="H155" s="1185" t="s">
        <v>1116</v>
      </c>
      <c r="I155" s="883">
        <v>1</v>
      </c>
      <c r="J155" s="884" t="s">
        <v>1058</v>
      </c>
      <c r="K155" s="883" t="s">
        <v>913</v>
      </c>
      <c r="L155" s="883" t="s">
        <v>1320</v>
      </c>
      <c r="M155" s="885">
        <v>18300000</v>
      </c>
      <c r="N155" s="886" t="s">
        <v>350</v>
      </c>
      <c r="O155" s="887">
        <v>41492</v>
      </c>
      <c r="P155" s="887">
        <v>41639</v>
      </c>
      <c r="Q155" s="887">
        <v>41639</v>
      </c>
      <c r="R155" s="888" t="s">
        <v>1060</v>
      </c>
      <c r="S155" s="889">
        <v>20800000</v>
      </c>
      <c r="T155" s="888" t="s">
        <v>1061</v>
      </c>
      <c r="U155" s="889">
        <v>20300000</v>
      </c>
      <c r="V155" s="889"/>
      <c r="W155" s="889">
        <v>6000000</v>
      </c>
      <c r="X155" s="889">
        <v>6000000</v>
      </c>
      <c r="Y155" s="889">
        <v>8300000</v>
      </c>
      <c r="Z155" s="889"/>
      <c r="AA155" s="889"/>
      <c r="AB155" s="889"/>
      <c r="AC155" s="889"/>
      <c r="AD155" s="889"/>
      <c r="AE155" s="889"/>
      <c r="AF155" s="889"/>
      <c r="AG155" s="885">
        <f t="shared" si="13"/>
        <v>20300000</v>
      </c>
      <c r="AH155" s="886" t="s">
        <v>237</v>
      </c>
      <c r="AI155" s="888" t="s">
        <v>910</v>
      </c>
      <c r="AJ155" s="883" t="s">
        <v>1065</v>
      </c>
      <c r="AK155" s="888" t="s">
        <v>1062</v>
      </c>
      <c r="AL155" s="888" t="s">
        <v>1062</v>
      </c>
      <c r="AM155" s="886">
        <v>100</v>
      </c>
      <c r="AN155" s="890">
        <f t="shared" ref="AN155:AN202" si="15">(AG155*100)/U155</f>
        <v>100</v>
      </c>
    </row>
    <row r="156" spans="1:40" ht="90" x14ac:dyDescent="0.25">
      <c r="A156" s="1183"/>
      <c r="B156" s="1183"/>
      <c r="C156" s="1183"/>
      <c r="D156" s="1183"/>
      <c r="E156" s="1185"/>
      <c r="F156" s="1185"/>
      <c r="G156" s="1186"/>
      <c r="H156" s="1185"/>
      <c r="I156" s="883">
        <v>2</v>
      </c>
      <c r="J156" s="883" t="s">
        <v>912</v>
      </c>
      <c r="K156" s="883" t="s">
        <v>914</v>
      </c>
      <c r="L156" s="883" t="s">
        <v>1326</v>
      </c>
      <c r="M156" s="889">
        <v>27500000</v>
      </c>
      <c r="N156" s="886" t="s">
        <v>350</v>
      </c>
      <c r="O156" s="887">
        <v>41492</v>
      </c>
      <c r="P156" s="887">
        <v>41639</v>
      </c>
      <c r="Q156" s="886"/>
      <c r="R156" s="888" t="s">
        <v>1063</v>
      </c>
      <c r="S156" s="889">
        <v>27500000</v>
      </c>
      <c r="T156" s="888" t="s">
        <v>1064</v>
      </c>
      <c r="U156" s="889">
        <v>27500000</v>
      </c>
      <c r="V156" s="889"/>
      <c r="W156" s="889">
        <f>U156*12.5%</f>
        <v>3437500</v>
      </c>
      <c r="X156" s="889"/>
      <c r="Y156" s="889"/>
      <c r="Z156" s="889"/>
      <c r="AA156" s="889"/>
      <c r="AB156" s="889"/>
      <c r="AC156" s="889"/>
      <c r="AD156" s="889"/>
      <c r="AE156" s="889"/>
      <c r="AF156" s="889"/>
      <c r="AG156" s="885">
        <f t="shared" si="13"/>
        <v>3437500</v>
      </c>
      <c r="AH156" s="886"/>
      <c r="AI156" s="888" t="s">
        <v>910</v>
      </c>
      <c r="AJ156" s="883" t="s">
        <v>1066</v>
      </c>
      <c r="AK156" s="888" t="s">
        <v>1070</v>
      </c>
      <c r="AL156" s="888" t="s">
        <v>1307</v>
      </c>
      <c r="AM156" s="886">
        <v>12.5</v>
      </c>
      <c r="AN156" s="890">
        <f t="shared" si="15"/>
        <v>12.5</v>
      </c>
    </row>
    <row r="157" spans="1:40" ht="120" x14ac:dyDescent="0.25">
      <c r="A157" s="1183"/>
      <c r="B157" s="1183"/>
      <c r="C157" s="1183"/>
      <c r="D157" s="1183"/>
      <c r="E157" s="1185"/>
      <c r="F157" s="1185"/>
      <c r="G157" s="1186"/>
      <c r="H157" s="1185"/>
      <c r="I157" s="883">
        <v>3</v>
      </c>
      <c r="J157" s="883" t="s">
        <v>920</v>
      </c>
      <c r="K157" s="883" t="s">
        <v>921</v>
      </c>
      <c r="L157" s="883" t="s">
        <v>1327</v>
      </c>
      <c r="M157" s="889">
        <v>36200000</v>
      </c>
      <c r="N157" s="886" t="s">
        <v>350</v>
      </c>
      <c r="O157" s="887">
        <v>41498</v>
      </c>
      <c r="P157" s="887">
        <v>41639</v>
      </c>
      <c r="Q157" s="887">
        <v>41639</v>
      </c>
      <c r="R157" s="888" t="s">
        <v>1068</v>
      </c>
      <c r="S157" s="889">
        <v>36200000</v>
      </c>
      <c r="T157" s="888" t="s">
        <v>1069</v>
      </c>
      <c r="U157" s="889">
        <v>36200000</v>
      </c>
      <c r="V157" s="889"/>
      <c r="W157" s="889">
        <v>12000000</v>
      </c>
      <c r="X157" s="889">
        <v>12000000</v>
      </c>
      <c r="Y157" s="889">
        <v>12200000</v>
      </c>
      <c r="Z157" s="889"/>
      <c r="AA157" s="889"/>
      <c r="AB157" s="889"/>
      <c r="AC157" s="889"/>
      <c r="AD157" s="889"/>
      <c r="AE157" s="889"/>
      <c r="AF157" s="889"/>
      <c r="AG157" s="885">
        <f t="shared" si="13"/>
        <v>36200000</v>
      </c>
      <c r="AH157" s="886" t="s">
        <v>237</v>
      </c>
      <c r="AI157" s="888" t="s">
        <v>910</v>
      </c>
      <c r="AJ157" s="883" t="s">
        <v>1067</v>
      </c>
      <c r="AK157" s="888" t="s">
        <v>1071</v>
      </c>
      <c r="AL157" s="888" t="s">
        <v>1071</v>
      </c>
      <c r="AM157" s="886">
        <v>100</v>
      </c>
      <c r="AN157" s="890">
        <f t="shared" si="15"/>
        <v>100</v>
      </c>
    </row>
    <row r="158" spans="1:40" ht="105" x14ac:dyDescent="0.25">
      <c r="A158" s="1183"/>
      <c r="B158" s="1183"/>
      <c r="C158" s="1183"/>
      <c r="D158" s="1183"/>
      <c r="E158" s="1185"/>
      <c r="F158" s="1185"/>
      <c r="G158" s="1186"/>
      <c r="H158" s="1185"/>
      <c r="I158" s="883">
        <v>4</v>
      </c>
      <c r="J158" s="883" t="s">
        <v>990</v>
      </c>
      <c r="K158" s="883" t="s">
        <v>940</v>
      </c>
      <c r="L158" s="883" t="s">
        <v>1328</v>
      </c>
      <c r="M158" s="889">
        <v>12500000</v>
      </c>
      <c r="N158" s="886" t="s">
        <v>350</v>
      </c>
      <c r="O158" s="887">
        <v>41502</v>
      </c>
      <c r="P158" s="887">
        <v>41639</v>
      </c>
      <c r="Q158" s="887">
        <v>41639</v>
      </c>
      <c r="R158" s="888" t="s">
        <v>1072</v>
      </c>
      <c r="S158" s="889">
        <v>12500000</v>
      </c>
      <c r="T158" s="888" t="s">
        <v>1073</v>
      </c>
      <c r="U158" s="889">
        <v>12500000</v>
      </c>
      <c r="V158" s="889"/>
      <c r="W158" s="889">
        <v>3000000</v>
      </c>
      <c r="X158" s="889">
        <v>9500000</v>
      </c>
      <c r="Y158" s="889"/>
      <c r="Z158" s="889"/>
      <c r="AA158" s="889"/>
      <c r="AB158" s="889"/>
      <c r="AC158" s="889"/>
      <c r="AD158" s="889"/>
      <c r="AE158" s="889"/>
      <c r="AF158" s="889"/>
      <c r="AG158" s="885">
        <f t="shared" si="13"/>
        <v>12500000</v>
      </c>
      <c r="AH158" s="886" t="s">
        <v>237</v>
      </c>
      <c r="AI158" s="888" t="s">
        <v>910</v>
      </c>
      <c r="AJ158" s="883" t="s">
        <v>1075</v>
      </c>
      <c r="AK158" s="888" t="s">
        <v>1074</v>
      </c>
      <c r="AL158" s="888" t="s">
        <v>1074</v>
      </c>
      <c r="AM158" s="886">
        <v>100</v>
      </c>
      <c r="AN158" s="890">
        <f t="shared" si="15"/>
        <v>100</v>
      </c>
    </row>
    <row r="159" spans="1:40" ht="105" x14ac:dyDescent="0.25">
      <c r="A159" s="1183"/>
      <c r="B159" s="1183"/>
      <c r="C159" s="1183"/>
      <c r="D159" s="1183"/>
      <c r="E159" s="1185"/>
      <c r="F159" s="1185"/>
      <c r="G159" s="1186"/>
      <c r="H159" s="1185"/>
      <c r="I159" s="883">
        <v>5</v>
      </c>
      <c r="J159" s="891" t="s">
        <v>1046</v>
      </c>
      <c r="K159" s="892" t="s">
        <v>1047</v>
      </c>
      <c r="L159" s="883" t="s">
        <v>1328</v>
      </c>
      <c r="M159" s="889">
        <v>21800000</v>
      </c>
      <c r="N159" s="886"/>
      <c r="O159" s="888" t="s">
        <v>967</v>
      </c>
      <c r="P159" s="886"/>
      <c r="Q159" s="886"/>
      <c r="R159" s="888" t="s">
        <v>1076</v>
      </c>
      <c r="S159" s="889">
        <v>21800000</v>
      </c>
      <c r="T159" s="888" t="s">
        <v>1077</v>
      </c>
      <c r="U159" s="889">
        <v>21800000</v>
      </c>
      <c r="V159" s="889"/>
      <c r="W159" s="889"/>
      <c r="X159" s="889"/>
      <c r="Y159" s="889"/>
      <c r="Z159" s="889"/>
      <c r="AA159" s="889"/>
      <c r="AB159" s="889"/>
      <c r="AC159" s="889"/>
      <c r="AD159" s="889"/>
      <c r="AE159" s="889"/>
      <c r="AF159" s="889"/>
      <c r="AG159" s="885">
        <f t="shared" si="13"/>
        <v>0</v>
      </c>
      <c r="AH159" s="886"/>
      <c r="AI159" s="888" t="s">
        <v>910</v>
      </c>
      <c r="AJ159" s="883" t="s">
        <v>1079</v>
      </c>
      <c r="AK159" s="888" t="s">
        <v>1078</v>
      </c>
      <c r="AL159" s="888" t="s">
        <v>1078</v>
      </c>
      <c r="AM159" s="886">
        <v>0</v>
      </c>
      <c r="AN159" s="890">
        <f t="shared" si="15"/>
        <v>0</v>
      </c>
    </row>
    <row r="160" spans="1:40" ht="90" x14ac:dyDescent="0.25">
      <c r="A160" s="1183"/>
      <c r="B160" s="1183"/>
      <c r="C160" s="1183"/>
      <c r="D160" s="1183"/>
      <c r="E160" s="1185"/>
      <c r="F160" s="1185"/>
      <c r="G160" s="1186"/>
      <c r="H160" s="1185"/>
      <c r="I160" s="883">
        <v>6</v>
      </c>
      <c r="J160" s="883" t="s">
        <v>948</v>
      </c>
      <c r="K160" s="883" t="s">
        <v>962</v>
      </c>
      <c r="L160" s="883" t="s">
        <v>1318</v>
      </c>
      <c r="M160" s="889">
        <v>11500000</v>
      </c>
      <c r="N160" s="886" t="s">
        <v>335</v>
      </c>
      <c r="O160" s="887">
        <v>45173</v>
      </c>
      <c r="P160" s="887">
        <v>41639</v>
      </c>
      <c r="Q160" s="887">
        <v>41639</v>
      </c>
      <c r="R160" s="888" t="s">
        <v>1081</v>
      </c>
      <c r="S160" s="889">
        <v>11500000</v>
      </c>
      <c r="T160" s="888" t="s">
        <v>1082</v>
      </c>
      <c r="U160" s="889">
        <v>11500000</v>
      </c>
      <c r="V160" s="889"/>
      <c r="W160" s="889">
        <f>U160/2</f>
        <v>5750000</v>
      </c>
      <c r="X160" s="889">
        <v>5750000</v>
      </c>
      <c r="Y160" s="889"/>
      <c r="Z160" s="889"/>
      <c r="AA160" s="889"/>
      <c r="AB160" s="889"/>
      <c r="AC160" s="889"/>
      <c r="AD160" s="889"/>
      <c r="AE160" s="889"/>
      <c r="AF160" s="889"/>
      <c r="AG160" s="885">
        <f t="shared" si="13"/>
        <v>11500000</v>
      </c>
      <c r="AH160" s="893" t="s">
        <v>237</v>
      </c>
      <c r="AI160" s="883" t="s">
        <v>910</v>
      </c>
      <c r="AJ160" s="883" t="s">
        <v>1080</v>
      </c>
      <c r="AK160" s="886" t="s">
        <v>1083</v>
      </c>
      <c r="AL160" s="886" t="s">
        <v>1083</v>
      </c>
      <c r="AM160" s="886">
        <v>100</v>
      </c>
      <c r="AN160" s="890">
        <f t="shared" si="15"/>
        <v>100</v>
      </c>
    </row>
    <row r="161" spans="1:40" ht="90" x14ac:dyDescent="0.25">
      <c r="A161" s="1183"/>
      <c r="B161" s="1183"/>
      <c r="C161" s="1183"/>
      <c r="D161" s="1183"/>
      <c r="E161" s="1185"/>
      <c r="F161" s="1185"/>
      <c r="G161" s="1186"/>
      <c r="H161" s="1185"/>
      <c r="I161" s="883">
        <v>7</v>
      </c>
      <c r="J161" s="888" t="s">
        <v>1048</v>
      </c>
      <c r="K161" s="888" t="s">
        <v>1050</v>
      </c>
      <c r="L161" s="883" t="s">
        <v>1329</v>
      </c>
      <c r="M161" s="889">
        <v>16900000</v>
      </c>
      <c r="N161" s="886"/>
      <c r="O161" s="888" t="s">
        <v>967</v>
      </c>
      <c r="P161" s="886"/>
      <c r="Q161" s="886"/>
      <c r="R161" s="888" t="s">
        <v>1084</v>
      </c>
      <c r="S161" s="889">
        <v>16900000</v>
      </c>
      <c r="T161" s="888" t="s">
        <v>1085</v>
      </c>
      <c r="U161" s="889">
        <v>16900000</v>
      </c>
      <c r="V161" s="889"/>
      <c r="W161" s="889"/>
      <c r="X161" s="889"/>
      <c r="Y161" s="889"/>
      <c r="Z161" s="889"/>
      <c r="AA161" s="889"/>
      <c r="AB161" s="889"/>
      <c r="AC161" s="889"/>
      <c r="AD161" s="889"/>
      <c r="AE161" s="889"/>
      <c r="AF161" s="889"/>
      <c r="AG161" s="885">
        <f t="shared" si="13"/>
        <v>0</v>
      </c>
      <c r="AH161" s="886"/>
      <c r="AI161" s="888" t="s">
        <v>954</v>
      </c>
      <c r="AJ161" s="883" t="s">
        <v>1086</v>
      </c>
      <c r="AK161" s="888" t="s">
        <v>1087</v>
      </c>
      <c r="AL161" s="888"/>
      <c r="AM161" s="886"/>
      <c r="AN161" s="890">
        <f t="shared" si="15"/>
        <v>0</v>
      </c>
    </row>
    <row r="162" spans="1:40" ht="90" x14ac:dyDescent="0.25">
      <c r="A162" s="1183"/>
      <c r="B162" s="1183"/>
      <c r="C162" s="1183"/>
      <c r="D162" s="1183"/>
      <c r="E162" s="1185"/>
      <c r="F162" s="1185"/>
      <c r="G162" s="1186"/>
      <c r="H162" s="1185"/>
      <c r="I162" s="883">
        <v>8</v>
      </c>
      <c r="J162" s="888" t="s">
        <v>1049</v>
      </c>
      <c r="K162" s="888" t="s">
        <v>1051</v>
      </c>
      <c r="L162" s="883" t="s">
        <v>1314</v>
      </c>
      <c r="M162" s="889">
        <v>15900000</v>
      </c>
      <c r="N162" s="886" t="s">
        <v>335</v>
      </c>
      <c r="O162" s="887">
        <v>41523</v>
      </c>
      <c r="P162" s="887">
        <v>41639</v>
      </c>
      <c r="Q162" s="886"/>
      <c r="R162" s="888" t="s">
        <v>1088</v>
      </c>
      <c r="S162" s="889">
        <v>15900000</v>
      </c>
      <c r="T162" s="888" t="s">
        <v>1089</v>
      </c>
      <c r="U162" s="889">
        <v>15900000</v>
      </c>
      <c r="V162" s="889"/>
      <c r="W162" s="889"/>
      <c r="X162" s="889"/>
      <c r="Y162" s="889"/>
      <c r="Z162" s="889"/>
      <c r="AA162" s="889"/>
      <c r="AB162" s="889"/>
      <c r="AC162" s="889"/>
      <c r="AD162" s="889"/>
      <c r="AE162" s="889"/>
      <c r="AF162" s="889"/>
      <c r="AG162" s="885">
        <f t="shared" si="13"/>
        <v>0</v>
      </c>
      <c r="AH162" s="886"/>
      <c r="AI162" s="888" t="s">
        <v>910</v>
      </c>
      <c r="AJ162" s="883" t="s">
        <v>1090</v>
      </c>
      <c r="AK162" s="888" t="s">
        <v>1091</v>
      </c>
      <c r="AL162" s="888"/>
      <c r="AM162" s="886"/>
      <c r="AN162" s="890">
        <f t="shared" si="15"/>
        <v>0</v>
      </c>
    </row>
    <row r="163" spans="1:40" ht="90" x14ac:dyDescent="0.25">
      <c r="A163" s="1183"/>
      <c r="B163" s="1183"/>
      <c r="C163" s="1183"/>
      <c r="D163" s="1183"/>
      <c r="E163" s="1185"/>
      <c r="F163" s="1185"/>
      <c r="G163" s="1186"/>
      <c r="H163" s="1185"/>
      <c r="I163" s="883">
        <v>9</v>
      </c>
      <c r="J163" s="883" t="s">
        <v>960</v>
      </c>
      <c r="K163" s="883" t="s">
        <v>963</v>
      </c>
      <c r="L163" s="883" t="s">
        <v>1314</v>
      </c>
      <c r="M163" s="889">
        <v>15300000</v>
      </c>
      <c r="N163" s="893" t="s">
        <v>329</v>
      </c>
      <c r="O163" s="894">
        <v>41568</v>
      </c>
      <c r="P163" s="895" t="s">
        <v>1030</v>
      </c>
      <c r="Q163" s="895"/>
      <c r="R163" s="883" t="s">
        <v>1092</v>
      </c>
      <c r="S163" s="896">
        <v>15300000</v>
      </c>
      <c r="T163" s="888" t="s">
        <v>1093</v>
      </c>
      <c r="U163" s="889">
        <v>15300000</v>
      </c>
      <c r="V163" s="889"/>
      <c r="W163" s="889">
        <v>15300000</v>
      </c>
      <c r="X163" s="889"/>
      <c r="Y163" s="889"/>
      <c r="Z163" s="889"/>
      <c r="AA163" s="889"/>
      <c r="AB163" s="889"/>
      <c r="AC163" s="889"/>
      <c r="AD163" s="889"/>
      <c r="AE163" s="889"/>
      <c r="AF163" s="889"/>
      <c r="AG163" s="885">
        <f t="shared" si="13"/>
        <v>15300000</v>
      </c>
      <c r="AH163" s="893" t="s">
        <v>237</v>
      </c>
      <c r="AI163" s="897" t="s">
        <v>910</v>
      </c>
      <c r="AJ163" s="883" t="s">
        <v>1094</v>
      </c>
      <c r="AK163" s="888" t="s">
        <v>1095</v>
      </c>
      <c r="AL163" s="888" t="s">
        <v>1095</v>
      </c>
      <c r="AM163" s="886">
        <v>100</v>
      </c>
      <c r="AN163" s="890">
        <f t="shared" si="15"/>
        <v>100</v>
      </c>
    </row>
    <row r="164" spans="1:40" ht="105" x14ac:dyDescent="0.25">
      <c r="A164" s="1183"/>
      <c r="B164" s="1183"/>
      <c r="C164" s="1183"/>
      <c r="D164" s="1183"/>
      <c r="E164" s="1185"/>
      <c r="F164" s="1185"/>
      <c r="G164" s="1186"/>
      <c r="H164" s="1185"/>
      <c r="I164" s="883">
        <v>10</v>
      </c>
      <c r="J164" s="883" t="s">
        <v>961</v>
      </c>
      <c r="K164" s="883" t="s">
        <v>962</v>
      </c>
      <c r="L164" s="883" t="s">
        <v>1315</v>
      </c>
      <c r="M164" s="889">
        <v>24500000</v>
      </c>
      <c r="N164" s="893"/>
      <c r="O164" s="895" t="s">
        <v>967</v>
      </c>
      <c r="P164" s="895"/>
      <c r="Q164" s="895"/>
      <c r="R164" s="883" t="s">
        <v>1097</v>
      </c>
      <c r="S164" s="896">
        <v>27400000</v>
      </c>
      <c r="T164" s="888" t="s">
        <v>1098</v>
      </c>
      <c r="U164" s="889">
        <v>27400000</v>
      </c>
      <c r="V164" s="889"/>
      <c r="W164" s="889"/>
      <c r="X164" s="889"/>
      <c r="Y164" s="889"/>
      <c r="Z164" s="889"/>
      <c r="AA164" s="889"/>
      <c r="AB164" s="889"/>
      <c r="AC164" s="889"/>
      <c r="AD164" s="889"/>
      <c r="AE164" s="889"/>
      <c r="AF164" s="889"/>
      <c r="AG164" s="885">
        <v>0</v>
      </c>
      <c r="AH164" s="893"/>
      <c r="AI164" s="897" t="s">
        <v>910</v>
      </c>
      <c r="AJ164" s="883" t="s">
        <v>1099</v>
      </c>
      <c r="AK164" s="888" t="s">
        <v>1096</v>
      </c>
      <c r="AL164" s="888"/>
      <c r="AM164" s="886"/>
      <c r="AN164" s="890">
        <f t="shared" si="15"/>
        <v>0</v>
      </c>
    </row>
    <row r="165" spans="1:40" ht="60" x14ac:dyDescent="0.25">
      <c r="A165" s="1183"/>
      <c r="B165" s="1183"/>
      <c r="C165" s="1183"/>
      <c r="D165" s="1183"/>
      <c r="E165" s="1185"/>
      <c r="F165" s="1185"/>
      <c r="G165" s="1186"/>
      <c r="H165" s="1185"/>
      <c r="I165" s="883">
        <v>11</v>
      </c>
      <c r="J165" s="898" t="s">
        <v>1052</v>
      </c>
      <c r="K165" s="898" t="s">
        <v>1053</v>
      </c>
      <c r="L165" s="883" t="s">
        <v>1330</v>
      </c>
      <c r="M165" s="889">
        <v>5250000</v>
      </c>
      <c r="N165" s="886" t="s">
        <v>335</v>
      </c>
      <c r="O165" s="887">
        <v>41558</v>
      </c>
      <c r="P165" s="886" t="s">
        <v>1030</v>
      </c>
      <c r="Q165" s="886" t="s">
        <v>1030</v>
      </c>
      <c r="R165" s="888" t="s">
        <v>1102</v>
      </c>
      <c r="S165" s="889">
        <v>900000</v>
      </c>
      <c r="T165" s="888" t="s">
        <v>1101</v>
      </c>
      <c r="U165" s="889">
        <v>5250000</v>
      </c>
      <c r="V165" s="889"/>
      <c r="W165" s="889">
        <v>1250000</v>
      </c>
      <c r="X165" s="889">
        <v>1500000</v>
      </c>
      <c r="Y165" s="889">
        <v>2500000</v>
      </c>
      <c r="Z165" s="889"/>
      <c r="AA165" s="889"/>
      <c r="AB165" s="889"/>
      <c r="AC165" s="889"/>
      <c r="AD165" s="889"/>
      <c r="AE165" s="889"/>
      <c r="AF165" s="889"/>
      <c r="AG165" s="885">
        <f t="shared" si="13"/>
        <v>5250000</v>
      </c>
      <c r="AH165" s="886" t="s">
        <v>237</v>
      </c>
      <c r="AI165" s="888" t="s">
        <v>1103</v>
      </c>
      <c r="AJ165" s="883" t="s">
        <v>1358</v>
      </c>
      <c r="AK165" s="888" t="s">
        <v>1104</v>
      </c>
      <c r="AL165" s="888" t="s">
        <v>1104</v>
      </c>
      <c r="AM165" s="886">
        <v>100</v>
      </c>
      <c r="AN165" s="890">
        <f t="shared" si="15"/>
        <v>100</v>
      </c>
    </row>
    <row r="166" spans="1:40" ht="60" x14ac:dyDescent="0.25">
      <c r="A166" s="1183"/>
      <c r="B166" s="1183"/>
      <c r="C166" s="1183"/>
      <c r="D166" s="1183"/>
      <c r="E166" s="1185"/>
      <c r="F166" s="1185"/>
      <c r="G166" s="1186"/>
      <c r="H166" s="1185"/>
      <c r="I166" s="893">
        <v>12</v>
      </c>
      <c r="J166" s="888" t="s">
        <v>1054</v>
      </c>
      <c r="K166" s="888" t="s">
        <v>1055</v>
      </c>
      <c r="L166" s="883" t="s">
        <v>1331</v>
      </c>
      <c r="M166" s="889">
        <v>1650000</v>
      </c>
      <c r="N166" s="886" t="s">
        <v>329</v>
      </c>
      <c r="O166" s="888" t="s">
        <v>967</v>
      </c>
      <c r="P166" s="886"/>
      <c r="Q166" s="886" t="s">
        <v>1030</v>
      </c>
      <c r="R166" s="888" t="s">
        <v>1105</v>
      </c>
      <c r="S166" s="889">
        <v>3500000</v>
      </c>
      <c r="T166" s="888" t="s">
        <v>1106</v>
      </c>
      <c r="U166" s="889">
        <v>1650000</v>
      </c>
      <c r="V166" s="889"/>
      <c r="W166" s="889">
        <v>400000</v>
      </c>
      <c r="X166" s="889">
        <v>1250000</v>
      </c>
      <c r="Y166" s="889"/>
      <c r="Z166" s="889"/>
      <c r="AA166" s="889"/>
      <c r="AB166" s="889"/>
      <c r="AC166" s="889"/>
      <c r="AD166" s="889"/>
      <c r="AE166" s="889"/>
      <c r="AF166" s="889"/>
      <c r="AG166" s="885">
        <f t="shared" si="13"/>
        <v>1650000</v>
      </c>
      <c r="AH166" s="886" t="s">
        <v>237</v>
      </c>
      <c r="AI166" s="888" t="s">
        <v>1109</v>
      </c>
      <c r="AJ166" s="888" t="s">
        <v>1359</v>
      </c>
      <c r="AK166" s="888" t="s">
        <v>1110</v>
      </c>
      <c r="AL166" s="888" t="s">
        <v>1110</v>
      </c>
      <c r="AM166" s="886">
        <v>100</v>
      </c>
      <c r="AN166" s="890">
        <f t="shared" si="15"/>
        <v>100</v>
      </c>
    </row>
    <row r="167" spans="1:40" ht="90" x14ac:dyDescent="0.25">
      <c r="A167" s="1184"/>
      <c r="B167" s="1184"/>
      <c r="C167" s="1184"/>
      <c r="D167" s="1184"/>
      <c r="E167" s="1185"/>
      <c r="F167" s="1185"/>
      <c r="G167" s="1186"/>
      <c r="H167" s="1185"/>
      <c r="I167" s="893">
        <v>13</v>
      </c>
      <c r="J167" s="888" t="s">
        <v>1056</v>
      </c>
      <c r="K167" s="888" t="s">
        <v>1057</v>
      </c>
      <c r="L167" s="883" t="s">
        <v>1332</v>
      </c>
      <c r="M167" s="889">
        <v>8750000</v>
      </c>
      <c r="N167" s="886" t="s">
        <v>1100</v>
      </c>
      <c r="O167" s="887">
        <v>41416</v>
      </c>
      <c r="P167" s="887">
        <v>41629</v>
      </c>
      <c r="Q167" s="886" t="s">
        <v>1030</v>
      </c>
      <c r="R167" s="888" t="s">
        <v>1107</v>
      </c>
      <c r="S167" s="889">
        <v>8750000</v>
      </c>
      <c r="T167" s="888" t="s">
        <v>1108</v>
      </c>
      <c r="U167" s="889">
        <v>8750000</v>
      </c>
      <c r="V167" s="889"/>
      <c r="W167" s="889">
        <v>2500000</v>
      </c>
      <c r="X167" s="889">
        <v>1250000</v>
      </c>
      <c r="Y167" s="889">
        <v>2500000</v>
      </c>
      <c r="Z167" s="889">
        <v>1250000</v>
      </c>
      <c r="AA167" s="889">
        <v>1250000</v>
      </c>
      <c r="AB167" s="889"/>
      <c r="AC167" s="889"/>
      <c r="AD167" s="889"/>
      <c r="AE167" s="889"/>
      <c r="AF167" s="889"/>
      <c r="AG167" s="885">
        <f t="shared" si="13"/>
        <v>8750000</v>
      </c>
      <c r="AH167" s="886" t="s">
        <v>237</v>
      </c>
      <c r="AI167" s="888" t="s">
        <v>1103</v>
      </c>
      <c r="AJ167" s="888"/>
      <c r="AK167" s="888" t="s">
        <v>1111</v>
      </c>
      <c r="AL167" s="888" t="s">
        <v>1111</v>
      </c>
      <c r="AM167" s="886">
        <v>100</v>
      </c>
      <c r="AN167" s="890">
        <f>(AG167*100)/U167</f>
        <v>100</v>
      </c>
    </row>
    <row r="168" spans="1:40" x14ac:dyDescent="0.25">
      <c r="A168" s="899"/>
      <c r="B168" s="899"/>
      <c r="C168" s="899"/>
      <c r="D168" s="899"/>
      <c r="E168" s="899"/>
      <c r="F168" s="899"/>
      <c r="G168" s="899"/>
      <c r="H168" s="899"/>
      <c r="I168" s="899"/>
      <c r="J168" s="899"/>
      <c r="K168" s="899"/>
      <c r="L168" s="899"/>
      <c r="M168" s="900">
        <f>SUM(M155:M167)</f>
        <v>216050000</v>
      </c>
      <c r="N168" s="900"/>
      <c r="O168" s="900"/>
      <c r="P168" s="900"/>
      <c r="Q168" s="900"/>
      <c r="R168" s="900">
        <f>SUM(R155:R167)</f>
        <v>0</v>
      </c>
      <c r="S168" s="900">
        <f>SUM(S155:S167)</f>
        <v>218950000</v>
      </c>
      <c r="T168" s="900">
        <f>SUM(T155:T167)</f>
        <v>0</v>
      </c>
      <c r="U168" s="900">
        <f>SUM(U155:U167)</f>
        <v>220950000</v>
      </c>
      <c r="V168" s="900"/>
      <c r="W168" s="900"/>
      <c r="X168" s="900"/>
      <c r="Y168" s="900"/>
      <c r="Z168" s="900"/>
      <c r="AA168" s="900"/>
      <c r="AB168" s="900"/>
      <c r="AC168" s="900"/>
      <c r="AD168" s="900">
        <f>AG168/U168</f>
        <v>0.5199705815795429</v>
      </c>
      <c r="AE168" s="900"/>
      <c r="AF168" s="900"/>
      <c r="AG168" s="900">
        <f>SUM(AG155:AG167)</f>
        <v>114887500</v>
      </c>
      <c r="AH168" s="899"/>
      <c r="AI168" s="899"/>
      <c r="AJ168" s="899"/>
      <c r="AK168" s="899"/>
      <c r="AL168" s="899"/>
      <c r="AM168" s="899">
        <f>SUM(AM155:AM167)/13</f>
        <v>62.5</v>
      </c>
      <c r="AN168" s="899">
        <f>SUM(AN155:AN167)/13</f>
        <v>62.5</v>
      </c>
    </row>
    <row r="169" spans="1:40" ht="75" x14ac:dyDescent="0.25">
      <c r="A169" s="1187">
        <v>31</v>
      </c>
      <c r="B169" s="1187" t="s">
        <v>390</v>
      </c>
      <c r="C169" s="1187" t="s">
        <v>1351</v>
      </c>
      <c r="D169" s="1187">
        <v>2013</v>
      </c>
      <c r="E169" s="1189" t="s">
        <v>1155</v>
      </c>
      <c r="F169" s="1189" t="s">
        <v>1113</v>
      </c>
      <c r="G169" s="1191">
        <v>355000000</v>
      </c>
      <c r="H169" s="1189" t="s">
        <v>1152</v>
      </c>
      <c r="I169" s="590">
        <v>1</v>
      </c>
      <c r="J169" s="591" t="s">
        <v>1352</v>
      </c>
      <c r="K169" s="591" t="s">
        <v>1125</v>
      </c>
      <c r="L169" s="591" t="s">
        <v>1335</v>
      </c>
      <c r="M169" s="782">
        <v>331775000</v>
      </c>
      <c r="N169" s="591" t="s">
        <v>1133</v>
      </c>
      <c r="O169" s="714">
        <v>41604</v>
      </c>
      <c r="P169" s="714">
        <v>41638</v>
      </c>
      <c r="Q169" s="714">
        <v>41723</v>
      </c>
      <c r="R169" s="591" t="s">
        <v>1131</v>
      </c>
      <c r="S169" s="782">
        <v>355000000</v>
      </c>
      <c r="T169" s="591" t="s">
        <v>1132</v>
      </c>
      <c r="U169" s="739">
        <v>355000000</v>
      </c>
      <c r="V169" s="782">
        <v>165887500</v>
      </c>
      <c r="W169" s="782">
        <v>165887500</v>
      </c>
      <c r="X169" s="782"/>
      <c r="Y169" s="782"/>
      <c r="Z169" s="782"/>
      <c r="AA169" s="782"/>
      <c r="AB169" s="782"/>
      <c r="AC169" s="782"/>
      <c r="AD169" s="782"/>
      <c r="AE169" s="782"/>
      <c r="AF169" s="782"/>
      <c r="AG169" s="782">
        <f>SUM(V169:AF169)</f>
        <v>331775000</v>
      </c>
      <c r="AH169" s="591" t="s">
        <v>237</v>
      </c>
      <c r="AI169" s="591" t="s">
        <v>1160</v>
      </c>
      <c r="AJ169" s="591" t="s">
        <v>1356</v>
      </c>
      <c r="AK169" s="34" t="s">
        <v>1334</v>
      </c>
      <c r="AL169" s="34" t="s">
        <v>1334</v>
      </c>
      <c r="AM169" s="591">
        <v>100</v>
      </c>
      <c r="AN169" s="901">
        <v>100</v>
      </c>
    </row>
    <row r="170" spans="1:40" ht="225" x14ac:dyDescent="0.25">
      <c r="A170" s="1188"/>
      <c r="B170" s="1188"/>
      <c r="C170" s="1188"/>
      <c r="D170" s="1188"/>
      <c r="E170" s="1190"/>
      <c r="F170" s="1190"/>
      <c r="G170" s="1192"/>
      <c r="H170" s="1190"/>
      <c r="I170" s="590">
        <v>2</v>
      </c>
      <c r="J170" s="591" t="s">
        <v>1353</v>
      </c>
      <c r="K170" s="591" t="s">
        <v>1126</v>
      </c>
      <c r="L170" s="591" t="s">
        <v>1127</v>
      </c>
      <c r="M170" s="782">
        <v>23224220</v>
      </c>
      <c r="N170" s="591" t="s">
        <v>1134</v>
      </c>
      <c r="O170" s="591"/>
      <c r="P170" s="714">
        <v>41718</v>
      </c>
      <c r="Q170" s="591"/>
      <c r="R170" s="591"/>
      <c r="S170" s="782"/>
      <c r="T170" s="591"/>
      <c r="U170" s="739"/>
      <c r="V170" s="782">
        <v>23224220</v>
      </c>
      <c r="W170" s="782"/>
      <c r="X170" s="782"/>
      <c r="Y170" s="782"/>
      <c r="Z170" s="782"/>
      <c r="AA170" s="782"/>
      <c r="AB170" s="782"/>
      <c r="AC170" s="782"/>
      <c r="AD170" s="782"/>
      <c r="AE170" s="782"/>
      <c r="AF170" s="782"/>
      <c r="AG170" s="782">
        <f>SUM(V170:AF170)</f>
        <v>23224220</v>
      </c>
      <c r="AH170" s="591"/>
      <c r="AI170" s="591" t="s">
        <v>1145</v>
      </c>
      <c r="AJ170" s="591"/>
      <c r="AK170" s="591" t="s">
        <v>1333</v>
      </c>
      <c r="AL170" s="591"/>
      <c r="AM170" s="591">
        <v>100</v>
      </c>
      <c r="AN170" s="901">
        <v>100</v>
      </c>
    </row>
    <row r="171" spans="1:40" x14ac:dyDescent="0.25">
      <c r="A171" s="902"/>
      <c r="B171" s="902"/>
      <c r="C171" s="902"/>
      <c r="D171" s="902"/>
      <c r="E171" s="903"/>
      <c r="F171" s="569"/>
      <c r="G171" s="904"/>
      <c r="H171" s="905"/>
      <c r="I171" s="590"/>
      <c r="J171" s="591"/>
      <c r="K171" s="591"/>
      <c r="L171" s="906"/>
      <c r="M171" s="782">
        <f>SUM(M169:M170)</f>
        <v>354999220</v>
      </c>
      <c r="N171" s="907"/>
      <c r="O171" s="907"/>
      <c r="P171" s="907"/>
      <c r="Q171" s="907"/>
      <c r="R171" s="907"/>
      <c r="S171" s="907"/>
      <c r="T171" s="907"/>
      <c r="U171" s="907"/>
      <c r="V171" s="907"/>
      <c r="W171" s="907"/>
      <c r="X171" s="907"/>
      <c r="Y171" s="907"/>
      <c r="Z171" s="907"/>
      <c r="AA171" s="907"/>
      <c r="AB171" s="907"/>
      <c r="AC171" s="907"/>
      <c r="AD171" s="907"/>
      <c r="AE171" s="907"/>
      <c r="AF171" s="907"/>
      <c r="AG171" s="908">
        <f>SUM(AG169:AG170)</f>
        <v>354999220</v>
      </c>
      <c r="AH171" s="907"/>
      <c r="AI171" s="907"/>
      <c r="AJ171" s="907"/>
      <c r="AK171" s="907"/>
      <c r="AL171" s="907"/>
      <c r="AM171" s="907">
        <v>100</v>
      </c>
      <c r="AN171" s="901">
        <v>100</v>
      </c>
    </row>
    <row r="172" spans="1:40" ht="60" x14ac:dyDescent="0.25">
      <c r="A172" s="1193">
        <v>32</v>
      </c>
      <c r="B172" s="1193" t="s">
        <v>390</v>
      </c>
      <c r="C172" s="1059" t="s">
        <v>1351</v>
      </c>
      <c r="D172" s="1193">
        <v>2013</v>
      </c>
      <c r="E172" s="1059" t="s">
        <v>1155</v>
      </c>
      <c r="F172" s="1059" t="s">
        <v>1114</v>
      </c>
      <c r="G172" s="1061">
        <v>354799950</v>
      </c>
      <c r="H172" s="1059" t="s">
        <v>1130</v>
      </c>
      <c r="I172" s="408">
        <v>1</v>
      </c>
      <c r="J172" s="242" t="s">
        <v>1354</v>
      </c>
      <c r="K172" s="242" t="s">
        <v>1128</v>
      </c>
      <c r="L172" s="242" t="s">
        <v>1129</v>
      </c>
      <c r="M172" s="243">
        <v>336000000</v>
      </c>
      <c r="N172" s="242" t="s">
        <v>1031</v>
      </c>
      <c r="O172" s="244">
        <v>41604</v>
      </c>
      <c r="P172" s="244">
        <v>41634</v>
      </c>
      <c r="Q172" s="244">
        <v>41725</v>
      </c>
      <c r="R172" s="242"/>
      <c r="S172" s="243"/>
      <c r="T172" s="242"/>
      <c r="U172" s="245"/>
      <c r="V172" s="243">
        <v>168000000</v>
      </c>
      <c r="W172" s="243">
        <v>84000000</v>
      </c>
      <c r="X172" s="243">
        <v>84000000</v>
      </c>
      <c r="Y172" s="243"/>
      <c r="Z172" s="243"/>
      <c r="AA172" s="243"/>
      <c r="AB172" s="243"/>
      <c r="AC172" s="243"/>
      <c r="AD172" s="243"/>
      <c r="AE172" s="243"/>
      <c r="AF172" s="243"/>
      <c r="AG172" s="243">
        <f>SUM(V172:AF172)</f>
        <v>336000000</v>
      </c>
      <c r="AH172" s="242" t="s">
        <v>237</v>
      </c>
      <c r="AI172" s="242" t="s">
        <v>1146</v>
      </c>
      <c r="AJ172" s="242" t="s">
        <v>1357</v>
      </c>
      <c r="AK172" s="242" t="s">
        <v>1129</v>
      </c>
      <c r="AL172" s="242" t="s">
        <v>1129</v>
      </c>
      <c r="AM172" s="242">
        <v>100</v>
      </c>
      <c r="AN172" s="246">
        <v>100</v>
      </c>
    </row>
    <row r="173" spans="1:40" ht="225" x14ac:dyDescent="0.25">
      <c r="A173" s="1194"/>
      <c r="B173" s="1194"/>
      <c r="C173" s="1060"/>
      <c r="D173" s="1194"/>
      <c r="E173" s="1060"/>
      <c r="F173" s="1060"/>
      <c r="G173" s="1062"/>
      <c r="H173" s="1060"/>
      <c r="I173" s="408">
        <v>2</v>
      </c>
      <c r="J173" s="242" t="s">
        <v>1355</v>
      </c>
      <c r="K173" s="242" t="s">
        <v>1126</v>
      </c>
      <c r="L173" s="242" t="s">
        <v>1127</v>
      </c>
      <c r="M173" s="243">
        <v>18128456</v>
      </c>
      <c r="N173" s="242" t="s">
        <v>1134</v>
      </c>
      <c r="O173" s="244">
        <v>41604</v>
      </c>
      <c r="P173" s="244">
        <v>41288</v>
      </c>
      <c r="Q173" s="244">
        <v>41725</v>
      </c>
      <c r="R173" s="242"/>
      <c r="S173" s="243"/>
      <c r="T173" s="242"/>
      <c r="U173" s="245"/>
      <c r="V173" s="243">
        <v>18128456</v>
      </c>
      <c r="W173" s="243"/>
      <c r="X173" s="243"/>
      <c r="Y173" s="243"/>
      <c r="Z173" s="243"/>
      <c r="AA173" s="243"/>
      <c r="AB173" s="243"/>
      <c r="AC173" s="243"/>
      <c r="AD173" s="243"/>
      <c r="AE173" s="243"/>
      <c r="AF173" s="243"/>
      <c r="AG173" s="243">
        <f>SUM(V173:AF173)</f>
        <v>18128456</v>
      </c>
      <c r="AH173" s="242"/>
      <c r="AI173" s="242" t="s">
        <v>1145</v>
      </c>
      <c r="AJ173" s="242"/>
      <c r="AK173" s="242" t="s">
        <v>1333</v>
      </c>
      <c r="AL173" s="242"/>
      <c r="AM173" s="242">
        <v>100</v>
      </c>
      <c r="AN173" s="246">
        <v>100</v>
      </c>
    </row>
    <row r="174" spans="1:40" x14ac:dyDescent="0.25">
      <c r="A174" s="909"/>
      <c r="B174" s="909"/>
      <c r="C174" s="909"/>
      <c r="D174" s="910"/>
      <c r="E174" s="911"/>
      <c r="F174" s="912"/>
      <c r="G174" s="913"/>
      <c r="H174" s="594"/>
      <c r="I174" s="910"/>
      <c r="J174" s="914"/>
      <c r="K174" s="578"/>
      <c r="L174" s="578"/>
      <c r="M174" s="243">
        <f>SUM(M172:M173)</f>
        <v>354128456</v>
      </c>
      <c r="N174" s="915"/>
      <c r="O174" s="915"/>
      <c r="P174" s="915"/>
      <c r="Q174" s="915"/>
      <c r="R174" s="915"/>
      <c r="S174" s="916"/>
      <c r="T174" s="915"/>
      <c r="U174" s="917"/>
      <c r="V174" s="916"/>
      <c r="W174" s="916"/>
      <c r="X174" s="916"/>
      <c r="Y174" s="916"/>
      <c r="Z174" s="916"/>
      <c r="AA174" s="916"/>
      <c r="AB174" s="916"/>
      <c r="AC174" s="916"/>
      <c r="AD174" s="916"/>
      <c r="AE174" s="916"/>
      <c r="AF174" s="916"/>
      <c r="AG174" s="916">
        <f>SUM(AG172:AG173)</f>
        <v>354128456</v>
      </c>
      <c r="AH174" s="915"/>
      <c r="AI174" s="915"/>
      <c r="AJ174" s="915"/>
      <c r="AK174" s="915"/>
      <c r="AL174" s="915"/>
      <c r="AM174" s="915">
        <v>100</v>
      </c>
      <c r="AN174" s="918">
        <v>100</v>
      </c>
    </row>
    <row r="175" spans="1:40" ht="45" x14ac:dyDescent="0.25">
      <c r="A175" s="605">
        <v>33</v>
      </c>
      <c r="B175" s="605" t="s">
        <v>390</v>
      </c>
      <c r="C175" s="281" t="s">
        <v>1351</v>
      </c>
      <c r="D175" s="605">
        <v>2013</v>
      </c>
      <c r="E175" s="281" t="s">
        <v>1155</v>
      </c>
      <c r="F175" s="281" t="s">
        <v>1153</v>
      </c>
      <c r="G175" s="919">
        <v>75000000</v>
      </c>
      <c r="H175" s="281" t="s">
        <v>1154</v>
      </c>
      <c r="I175" s="605"/>
      <c r="J175" s="281"/>
      <c r="K175" s="281"/>
      <c r="L175" s="281" t="s">
        <v>1156</v>
      </c>
      <c r="M175" s="608"/>
      <c r="N175" s="807"/>
      <c r="O175" s="807"/>
      <c r="P175" s="807"/>
      <c r="Q175" s="807"/>
      <c r="R175" s="807"/>
      <c r="S175" s="807"/>
      <c r="T175" s="807"/>
      <c r="U175" s="807"/>
      <c r="V175" s="807"/>
      <c r="W175" s="807"/>
      <c r="X175" s="807"/>
      <c r="Y175" s="807"/>
      <c r="Z175" s="807"/>
      <c r="AA175" s="807"/>
      <c r="AB175" s="807"/>
      <c r="AC175" s="807"/>
      <c r="AD175" s="807"/>
      <c r="AE175" s="807"/>
      <c r="AF175" s="807"/>
      <c r="AG175" s="807"/>
      <c r="AH175" s="807"/>
      <c r="AI175" s="807"/>
      <c r="AJ175" s="807"/>
      <c r="AK175" s="807"/>
      <c r="AL175" s="807"/>
      <c r="AM175" s="807"/>
      <c r="AN175" s="882"/>
    </row>
    <row r="176" spans="1:40" ht="180" x14ac:dyDescent="0.25">
      <c r="A176" s="1195">
        <v>34</v>
      </c>
      <c r="B176" s="1198" t="s">
        <v>390</v>
      </c>
      <c r="C176" s="1195" t="s">
        <v>1351</v>
      </c>
      <c r="D176" s="1198">
        <v>2013</v>
      </c>
      <c r="E176" s="1195"/>
      <c r="F176" s="1201" t="s">
        <v>1115</v>
      </c>
      <c r="G176" s="1202">
        <v>490000000</v>
      </c>
      <c r="H176" s="1195" t="s">
        <v>1361</v>
      </c>
      <c r="I176" s="920">
        <v>1</v>
      </c>
      <c r="J176" s="921">
        <v>468</v>
      </c>
      <c r="K176" s="922" t="s">
        <v>1117</v>
      </c>
      <c r="L176" s="922" t="s">
        <v>1118</v>
      </c>
      <c r="M176" s="923">
        <v>490000000</v>
      </c>
      <c r="N176" s="922" t="s">
        <v>193</v>
      </c>
      <c r="O176" s="924">
        <v>41429</v>
      </c>
      <c r="P176" s="922" t="s">
        <v>1135</v>
      </c>
      <c r="Q176" s="922"/>
      <c r="R176" s="922" t="s">
        <v>1136</v>
      </c>
      <c r="S176" s="923">
        <v>490000000</v>
      </c>
      <c r="T176" s="922" t="s">
        <v>1137</v>
      </c>
      <c r="U176" s="925">
        <v>490000000</v>
      </c>
      <c r="V176" s="923"/>
      <c r="W176" s="923">
        <v>196000000</v>
      </c>
      <c r="X176" s="923">
        <v>98000000</v>
      </c>
      <c r="Y176" s="923">
        <v>98000000</v>
      </c>
      <c r="Z176" s="923"/>
      <c r="AA176" s="923"/>
      <c r="AB176" s="923"/>
      <c r="AC176" s="923"/>
      <c r="AD176" s="923"/>
      <c r="AE176" s="923"/>
      <c r="AF176" s="923"/>
      <c r="AG176" s="923">
        <f>SUM(V176:AF176)</f>
        <v>392000000</v>
      </c>
      <c r="AH176" s="922" t="s">
        <v>173</v>
      </c>
      <c r="AI176" s="922" t="s">
        <v>1147</v>
      </c>
      <c r="AJ176" s="922" t="s">
        <v>1148</v>
      </c>
      <c r="AK176" s="922" t="s">
        <v>1336</v>
      </c>
      <c r="AL176" s="922" t="s">
        <v>1337</v>
      </c>
      <c r="AM176" s="922">
        <v>100</v>
      </c>
      <c r="AN176" s="926">
        <f t="shared" si="15"/>
        <v>80</v>
      </c>
    </row>
    <row r="177" spans="1:40" ht="240" x14ac:dyDescent="0.25">
      <c r="A177" s="1196"/>
      <c r="B177" s="1199"/>
      <c r="C177" s="1196"/>
      <c r="D177" s="1199"/>
      <c r="E177" s="1196"/>
      <c r="F177" s="1201"/>
      <c r="G177" s="1202"/>
      <c r="H177" s="1196"/>
      <c r="I177" s="920">
        <v>2</v>
      </c>
      <c r="J177" s="921" t="s">
        <v>932</v>
      </c>
      <c r="K177" s="922" t="s">
        <v>933</v>
      </c>
      <c r="L177" s="922" t="s">
        <v>1119</v>
      </c>
      <c r="M177" s="923">
        <v>540000000</v>
      </c>
      <c r="N177" s="922" t="s">
        <v>350</v>
      </c>
      <c r="O177" s="924">
        <v>41501</v>
      </c>
      <c r="P177" s="924">
        <v>41639</v>
      </c>
      <c r="Q177" s="922"/>
      <c r="R177" s="922" t="s">
        <v>1157</v>
      </c>
      <c r="S177" s="923">
        <f>14000000+150000000+70000000+21000000+150000000</f>
        <v>405000000</v>
      </c>
      <c r="T177" s="922" t="s">
        <v>1158</v>
      </c>
      <c r="U177" s="925">
        <f>70000000+14000000+100000000+51000000</f>
        <v>235000000</v>
      </c>
      <c r="V177" s="923"/>
      <c r="W177" s="923">
        <v>78000000</v>
      </c>
      <c r="X177" s="923">
        <v>78000000</v>
      </c>
      <c r="Y177" s="923"/>
      <c r="Z177" s="923"/>
      <c r="AA177" s="923"/>
      <c r="AB177" s="923"/>
      <c r="AC177" s="923"/>
      <c r="AD177" s="923"/>
      <c r="AE177" s="923"/>
      <c r="AF177" s="923"/>
      <c r="AG177" s="923">
        <f>SUM(V177:AF177)</f>
        <v>156000000</v>
      </c>
      <c r="AH177" s="922" t="s">
        <v>1360</v>
      </c>
      <c r="AI177" s="922" t="s">
        <v>1149</v>
      </c>
      <c r="AJ177" s="922" t="s">
        <v>1159</v>
      </c>
      <c r="AK177" s="922" t="s">
        <v>1119</v>
      </c>
      <c r="AL177" s="922" t="s">
        <v>1338</v>
      </c>
      <c r="AM177" s="922">
        <v>80</v>
      </c>
      <c r="AN177" s="926">
        <f t="shared" si="15"/>
        <v>66.38297872340425</v>
      </c>
    </row>
    <row r="178" spans="1:40" ht="105" x14ac:dyDescent="0.25">
      <c r="A178" s="1196"/>
      <c r="B178" s="1199"/>
      <c r="C178" s="1196"/>
      <c r="D178" s="1199"/>
      <c r="E178" s="1196"/>
      <c r="F178" s="1201"/>
      <c r="G178" s="1202"/>
      <c r="H178" s="1196"/>
      <c r="I178" s="920">
        <v>3</v>
      </c>
      <c r="J178" s="921">
        <v>1082</v>
      </c>
      <c r="K178" s="922" t="s">
        <v>1120</v>
      </c>
      <c r="L178" s="922" t="s">
        <v>1121</v>
      </c>
      <c r="M178" s="923">
        <v>66000000</v>
      </c>
      <c r="N178" s="922" t="s">
        <v>1031</v>
      </c>
      <c r="O178" s="924">
        <v>41596</v>
      </c>
      <c r="P178" s="924">
        <v>41639</v>
      </c>
      <c r="Q178" s="922"/>
      <c r="R178" s="922" t="s">
        <v>1138</v>
      </c>
      <c r="S178" s="923">
        <f>40000000 + 60000000</f>
        <v>100000000</v>
      </c>
      <c r="T178" s="922" t="s">
        <v>1139</v>
      </c>
      <c r="U178" s="925">
        <f>20000000+40000000</f>
        <v>60000000</v>
      </c>
      <c r="V178" s="923"/>
      <c r="W178" s="923">
        <v>30000000</v>
      </c>
      <c r="X178" s="923">
        <v>30000000</v>
      </c>
      <c r="Y178" s="923"/>
      <c r="Z178" s="923"/>
      <c r="AA178" s="923"/>
      <c r="AB178" s="923"/>
      <c r="AC178" s="923"/>
      <c r="AD178" s="923"/>
      <c r="AE178" s="923"/>
      <c r="AF178" s="923"/>
      <c r="AG178" s="923">
        <f>SUM(V178:AF178)</f>
        <v>60000000</v>
      </c>
      <c r="AH178" s="922" t="s">
        <v>237</v>
      </c>
      <c r="AI178" s="922" t="s">
        <v>1149</v>
      </c>
      <c r="AJ178" s="922" t="s">
        <v>1150</v>
      </c>
      <c r="AK178" s="922" t="s">
        <v>1121</v>
      </c>
      <c r="AL178" s="922" t="s">
        <v>1339</v>
      </c>
      <c r="AM178" s="922">
        <v>100</v>
      </c>
      <c r="AN178" s="926">
        <f t="shared" si="15"/>
        <v>100</v>
      </c>
    </row>
    <row r="179" spans="1:40" ht="165" x14ac:dyDescent="0.25">
      <c r="A179" s="1196"/>
      <c r="B179" s="1199"/>
      <c r="C179" s="1196"/>
      <c r="D179" s="1199"/>
      <c r="E179" s="1196"/>
      <c r="F179" s="1201"/>
      <c r="G179" s="1202"/>
      <c r="H179" s="1196"/>
      <c r="I179" s="920">
        <v>4</v>
      </c>
      <c r="J179" s="921">
        <v>1083</v>
      </c>
      <c r="K179" s="922" t="s">
        <v>1122</v>
      </c>
      <c r="L179" s="922" t="s">
        <v>1123</v>
      </c>
      <c r="M179" s="923">
        <v>55000000</v>
      </c>
      <c r="N179" s="922" t="s">
        <v>1031</v>
      </c>
      <c r="O179" s="924">
        <v>41596</v>
      </c>
      <c r="P179" s="924">
        <v>41639</v>
      </c>
      <c r="Q179" s="922"/>
      <c r="R179" s="922" t="s">
        <v>1140</v>
      </c>
      <c r="S179" s="923">
        <v>50000000</v>
      </c>
      <c r="T179" s="922" t="s">
        <v>1141</v>
      </c>
      <c r="U179" s="925">
        <v>50000000</v>
      </c>
      <c r="V179" s="923"/>
      <c r="W179" s="923">
        <v>25000000</v>
      </c>
      <c r="X179" s="923">
        <v>25000000</v>
      </c>
      <c r="Y179" s="923"/>
      <c r="Z179" s="923"/>
      <c r="AA179" s="923"/>
      <c r="AB179" s="923"/>
      <c r="AC179" s="923"/>
      <c r="AD179" s="923"/>
      <c r="AE179" s="923"/>
      <c r="AF179" s="923"/>
      <c r="AG179" s="923">
        <f>SUM(V179:AF179)</f>
        <v>50000000</v>
      </c>
      <c r="AH179" s="922" t="s">
        <v>237</v>
      </c>
      <c r="AI179" s="922" t="s">
        <v>1149</v>
      </c>
      <c r="AJ179" s="922" t="s">
        <v>1151</v>
      </c>
      <c r="AK179" s="922" t="s">
        <v>1123</v>
      </c>
      <c r="AL179" s="922" t="s">
        <v>1340</v>
      </c>
      <c r="AM179" s="922">
        <v>100</v>
      </c>
      <c r="AN179" s="926">
        <f t="shared" si="15"/>
        <v>100</v>
      </c>
    </row>
    <row r="180" spans="1:40" ht="135" x14ac:dyDescent="0.25">
      <c r="A180" s="1197"/>
      <c r="B180" s="1200"/>
      <c r="C180" s="1197"/>
      <c r="D180" s="1200"/>
      <c r="E180" s="1197"/>
      <c r="F180" s="1201"/>
      <c r="G180" s="1202"/>
      <c r="H180" s="1197"/>
      <c r="I180" s="920">
        <v>5</v>
      </c>
      <c r="J180" s="921">
        <v>1088</v>
      </c>
      <c r="K180" s="922" t="s">
        <v>1122</v>
      </c>
      <c r="L180" s="922" t="s">
        <v>1124</v>
      </c>
      <c r="M180" s="923">
        <v>168726800</v>
      </c>
      <c r="N180" s="922" t="s">
        <v>1031</v>
      </c>
      <c r="O180" s="924">
        <v>41593</v>
      </c>
      <c r="P180" s="924">
        <v>41639</v>
      </c>
      <c r="Q180" s="924" t="s">
        <v>1142</v>
      </c>
      <c r="R180" s="922" t="s">
        <v>1143</v>
      </c>
      <c r="S180" s="923">
        <f>112000000+ 60000000</f>
        <v>172000000</v>
      </c>
      <c r="T180" s="922" t="s">
        <v>1144</v>
      </c>
      <c r="U180" s="925">
        <f>40000000+112000000</f>
        <v>152000000</v>
      </c>
      <c r="V180" s="923"/>
      <c r="W180" s="923">
        <v>76000000</v>
      </c>
      <c r="X180" s="923">
        <v>76000000</v>
      </c>
      <c r="Y180" s="923"/>
      <c r="Z180" s="923"/>
      <c r="AA180" s="923"/>
      <c r="AB180" s="923"/>
      <c r="AC180" s="923"/>
      <c r="AD180" s="923"/>
      <c r="AE180" s="923"/>
      <c r="AF180" s="923"/>
      <c r="AG180" s="923">
        <f>SUM(V180:AF180)</f>
        <v>152000000</v>
      </c>
      <c r="AH180" s="922" t="s">
        <v>237</v>
      </c>
      <c r="AI180" s="922" t="s">
        <v>1149</v>
      </c>
      <c r="AJ180" s="922" t="s">
        <v>1366</v>
      </c>
      <c r="AK180" s="922" t="s">
        <v>1124</v>
      </c>
      <c r="AL180" s="922" t="s">
        <v>1341</v>
      </c>
      <c r="AM180" s="922">
        <v>100</v>
      </c>
      <c r="AN180" s="926">
        <f t="shared" si="15"/>
        <v>100</v>
      </c>
    </row>
    <row r="181" spans="1:40" x14ac:dyDescent="0.25">
      <c r="A181" s="927"/>
      <c r="B181" s="927"/>
      <c r="C181" s="927"/>
      <c r="D181" s="927"/>
      <c r="E181" s="927"/>
      <c r="F181" s="922"/>
      <c r="G181" s="928"/>
      <c r="H181" s="929"/>
      <c r="I181" s="927"/>
      <c r="J181" s="921"/>
      <c r="K181" s="922"/>
      <c r="L181" s="922"/>
      <c r="M181" s="923">
        <f>SUM(M176:M180)</f>
        <v>1319726800</v>
      </c>
      <c r="N181" s="923"/>
      <c r="O181" s="923"/>
      <c r="P181" s="923"/>
      <c r="Q181" s="923"/>
      <c r="R181" s="923"/>
      <c r="S181" s="923"/>
      <c r="T181" s="923"/>
      <c r="U181" s="923">
        <f>SUM(U176:U180)</f>
        <v>987000000</v>
      </c>
      <c r="V181" s="930"/>
      <c r="W181" s="930"/>
      <c r="X181" s="930"/>
      <c r="Y181" s="930"/>
      <c r="Z181" s="930"/>
      <c r="AA181" s="930"/>
      <c r="AB181" s="930"/>
      <c r="AC181" s="930"/>
      <c r="AD181" s="930"/>
      <c r="AE181" s="930"/>
      <c r="AF181" s="930"/>
      <c r="AG181" s="931">
        <f>SUM(AG176:AG180)</f>
        <v>810000000</v>
      </c>
      <c r="AH181" s="930"/>
      <c r="AI181" s="930"/>
      <c r="AJ181" s="930"/>
      <c r="AK181" s="930"/>
      <c r="AL181" s="930"/>
      <c r="AM181" s="926">
        <f>SUM(AM176:AM180)/5</f>
        <v>96</v>
      </c>
      <c r="AN181" s="926">
        <f>SUM(AN176:AN180)/5</f>
        <v>89.276595744680847</v>
      </c>
    </row>
    <row r="182" spans="1:40" ht="90" x14ac:dyDescent="0.25">
      <c r="A182" s="1203">
        <v>35</v>
      </c>
      <c r="B182" s="1203" t="s">
        <v>390</v>
      </c>
      <c r="C182" s="1203" t="s">
        <v>1351</v>
      </c>
      <c r="D182" s="1203">
        <v>2013</v>
      </c>
      <c r="E182" s="1203"/>
      <c r="F182" s="1203" t="s">
        <v>1161</v>
      </c>
      <c r="G182" s="1205">
        <v>96400000</v>
      </c>
      <c r="H182" s="1203" t="s">
        <v>1162</v>
      </c>
      <c r="I182" s="932">
        <v>1</v>
      </c>
      <c r="J182" s="932" t="s">
        <v>1163</v>
      </c>
      <c r="K182" s="932" t="s">
        <v>1164</v>
      </c>
      <c r="L182" s="932" t="s">
        <v>1165</v>
      </c>
      <c r="M182" s="933">
        <v>36400000</v>
      </c>
      <c r="N182" s="932" t="s">
        <v>1166</v>
      </c>
      <c r="O182" s="934">
        <v>41508</v>
      </c>
      <c r="P182" s="934">
        <v>41639</v>
      </c>
      <c r="Q182" s="934">
        <v>41639</v>
      </c>
      <c r="R182" s="932" t="s">
        <v>1167</v>
      </c>
      <c r="S182" s="933">
        <v>36400000</v>
      </c>
      <c r="T182" s="932" t="s">
        <v>1168</v>
      </c>
      <c r="U182" s="935">
        <v>36400000</v>
      </c>
      <c r="V182" s="933">
        <v>14560000</v>
      </c>
      <c r="W182" s="933">
        <v>10920000</v>
      </c>
      <c r="X182" s="933">
        <v>10920000</v>
      </c>
      <c r="Y182" s="933"/>
      <c r="Z182" s="933"/>
      <c r="AA182" s="933"/>
      <c r="AB182" s="933"/>
      <c r="AC182" s="933"/>
      <c r="AD182" s="933"/>
      <c r="AE182" s="933"/>
      <c r="AF182" s="933"/>
      <c r="AG182" s="933">
        <f>SUM(V182:AF182)</f>
        <v>36400000</v>
      </c>
      <c r="AH182" s="932" t="s">
        <v>1169</v>
      </c>
      <c r="AI182" s="932" t="s">
        <v>1170</v>
      </c>
      <c r="AJ182" s="932"/>
      <c r="AK182" s="932" t="s">
        <v>1171</v>
      </c>
      <c r="AL182" s="932" t="s">
        <v>1172</v>
      </c>
      <c r="AM182" s="932">
        <v>100</v>
      </c>
      <c r="AN182" s="936">
        <f t="shared" si="15"/>
        <v>100</v>
      </c>
    </row>
    <row r="183" spans="1:40" ht="90" x14ac:dyDescent="0.25">
      <c r="A183" s="1204"/>
      <c r="B183" s="1204"/>
      <c r="C183" s="1204"/>
      <c r="D183" s="1204"/>
      <c r="E183" s="1204"/>
      <c r="F183" s="1204"/>
      <c r="G183" s="1206"/>
      <c r="H183" s="1204"/>
      <c r="I183" s="932">
        <v>2</v>
      </c>
      <c r="J183" s="932" t="s">
        <v>1173</v>
      </c>
      <c r="K183" s="932" t="s">
        <v>1164</v>
      </c>
      <c r="L183" s="932" t="s">
        <v>1174</v>
      </c>
      <c r="M183" s="933">
        <v>60000000</v>
      </c>
      <c r="N183" s="932" t="s">
        <v>1166</v>
      </c>
      <c r="O183" s="934">
        <v>41508</v>
      </c>
      <c r="P183" s="934">
        <v>41639</v>
      </c>
      <c r="Q183" s="934">
        <v>41639</v>
      </c>
      <c r="R183" s="932" t="s">
        <v>1175</v>
      </c>
      <c r="S183" s="933">
        <v>60000000</v>
      </c>
      <c r="T183" s="932" t="s">
        <v>1176</v>
      </c>
      <c r="U183" s="935">
        <v>60000000</v>
      </c>
      <c r="V183" s="933">
        <v>24000000</v>
      </c>
      <c r="W183" s="933">
        <v>18000000</v>
      </c>
      <c r="X183" s="933"/>
      <c r="Y183" s="933"/>
      <c r="Z183" s="933"/>
      <c r="AA183" s="933"/>
      <c r="AB183" s="933"/>
      <c r="AC183" s="933"/>
      <c r="AD183" s="933"/>
      <c r="AE183" s="933"/>
      <c r="AF183" s="933"/>
      <c r="AG183" s="933">
        <f>SUM(V183:AF183)</f>
        <v>42000000</v>
      </c>
      <c r="AH183" s="932" t="s">
        <v>1169</v>
      </c>
      <c r="AI183" s="932" t="s">
        <v>1170</v>
      </c>
      <c r="AJ183" s="932" t="s">
        <v>1177</v>
      </c>
      <c r="AK183" s="932" t="s">
        <v>1178</v>
      </c>
      <c r="AL183" s="932" t="s">
        <v>1179</v>
      </c>
      <c r="AM183" s="932">
        <v>100</v>
      </c>
      <c r="AN183" s="936">
        <f t="shared" si="15"/>
        <v>70</v>
      </c>
    </row>
    <row r="184" spans="1:40" x14ac:dyDescent="0.25">
      <c r="A184" s="937"/>
      <c r="B184" s="937"/>
      <c r="C184" s="937"/>
      <c r="D184" s="937"/>
      <c r="E184" s="937"/>
      <c r="F184" s="937"/>
      <c r="G184" s="937"/>
      <c r="H184" s="937"/>
      <c r="I184" s="932"/>
      <c r="J184" s="937"/>
      <c r="K184" s="937"/>
      <c r="L184" s="937"/>
      <c r="M184" s="938">
        <f>SUM(M182:M183)</f>
        <v>96400000</v>
      </c>
      <c r="N184" s="937"/>
      <c r="O184" s="937"/>
      <c r="P184" s="937"/>
      <c r="Q184" s="937"/>
      <c r="R184" s="937"/>
      <c r="S184" s="937"/>
      <c r="T184" s="937"/>
      <c r="U184" s="938">
        <f>SUM(U182:U183)</f>
        <v>96400000</v>
      </c>
      <c r="V184" s="937"/>
      <c r="W184" s="937"/>
      <c r="X184" s="937"/>
      <c r="Y184" s="937"/>
      <c r="Z184" s="937"/>
      <c r="AA184" s="937"/>
      <c r="AB184" s="937"/>
      <c r="AC184" s="937"/>
      <c r="AD184" s="937"/>
      <c r="AE184" s="937"/>
      <c r="AF184" s="937"/>
      <c r="AG184" s="938">
        <f>SUM(AG182:AG183)</f>
        <v>78400000</v>
      </c>
      <c r="AH184" s="937"/>
      <c r="AI184" s="937"/>
      <c r="AJ184" s="937"/>
      <c r="AK184" s="937"/>
      <c r="AL184" s="937"/>
      <c r="AM184" s="937">
        <f>SUM(AM182:AM183)/2</f>
        <v>100</v>
      </c>
      <c r="AN184" s="937">
        <f>SUM(AN182:AN183)/2</f>
        <v>85</v>
      </c>
    </row>
    <row r="185" spans="1:40" ht="150" x14ac:dyDescent="0.25">
      <c r="A185" s="1207">
        <v>36</v>
      </c>
      <c r="B185" s="1208" t="s">
        <v>390</v>
      </c>
      <c r="C185" s="1208" t="s">
        <v>1351</v>
      </c>
      <c r="D185" s="1208">
        <v>2013</v>
      </c>
      <c r="E185" s="1208"/>
      <c r="F185" s="1053" t="s">
        <v>1180</v>
      </c>
      <c r="G185" s="1211">
        <v>10000000000</v>
      </c>
      <c r="H185" s="1053" t="s">
        <v>1181</v>
      </c>
      <c r="I185" s="940">
        <v>1</v>
      </c>
      <c r="J185" s="258" t="s">
        <v>1182</v>
      </c>
      <c r="K185" s="258" t="s">
        <v>1183</v>
      </c>
      <c r="L185" s="258" t="s">
        <v>1184</v>
      </c>
      <c r="M185" s="941">
        <v>2900000000</v>
      </c>
      <c r="N185" s="940" t="s">
        <v>1185</v>
      </c>
      <c r="O185" s="942">
        <v>41628</v>
      </c>
      <c r="P185" s="942">
        <v>41993</v>
      </c>
      <c r="Q185" s="942">
        <v>41993</v>
      </c>
      <c r="R185" s="258" t="s">
        <v>1186</v>
      </c>
      <c r="S185" s="941">
        <v>3240000000</v>
      </c>
      <c r="T185" s="258" t="s">
        <v>1187</v>
      </c>
      <c r="U185" s="941">
        <v>435000000</v>
      </c>
      <c r="V185" s="940"/>
      <c r="W185" s="941">
        <v>271771200</v>
      </c>
      <c r="X185" s="941">
        <v>1472065980</v>
      </c>
      <c r="Y185" s="940"/>
      <c r="Z185" s="940"/>
      <c r="AA185" s="940"/>
      <c r="AB185" s="940"/>
      <c r="AC185" s="940"/>
      <c r="AD185" s="940"/>
      <c r="AE185" s="940"/>
      <c r="AF185" s="940"/>
      <c r="AG185" s="943">
        <f>SUM(V185+W185+X185+Y185+Z185+AB185+AC185+AD185+AF185)</f>
        <v>1743837180</v>
      </c>
      <c r="AH185" s="940" t="s">
        <v>1299</v>
      </c>
      <c r="AI185" s="258" t="s">
        <v>1300</v>
      </c>
      <c r="AJ185" s="258" t="s">
        <v>1188</v>
      </c>
      <c r="AK185" s="258" t="s">
        <v>1189</v>
      </c>
      <c r="AL185" s="258" t="s">
        <v>1190</v>
      </c>
      <c r="AM185" s="940">
        <v>20</v>
      </c>
      <c r="AN185" s="262">
        <v>100</v>
      </c>
    </row>
    <row r="186" spans="1:40" ht="165" x14ac:dyDescent="0.25">
      <c r="A186" s="1207"/>
      <c r="B186" s="1209"/>
      <c r="C186" s="1209"/>
      <c r="D186" s="1209"/>
      <c r="E186" s="1209"/>
      <c r="F186" s="1054"/>
      <c r="G186" s="1212"/>
      <c r="H186" s="1054"/>
      <c r="I186" s="258">
        <v>2</v>
      </c>
      <c r="J186" s="258" t="s">
        <v>1191</v>
      </c>
      <c r="K186" s="258" t="s">
        <v>1192</v>
      </c>
      <c r="L186" s="258" t="s">
        <v>1193</v>
      </c>
      <c r="M186" s="259">
        <v>1100000000</v>
      </c>
      <c r="N186" s="258" t="s">
        <v>1185</v>
      </c>
      <c r="O186" s="260">
        <v>41634</v>
      </c>
      <c r="P186" s="260">
        <v>41998</v>
      </c>
      <c r="Q186" s="260">
        <v>41998</v>
      </c>
      <c r="R186" s="258" t="s">
        <v>1194</v>
      </c>
      <c r="S186" s="259">
        <v>1100000000</v>
      </c>
      <c r="T186" s="258" t="s">
        <v>1195</v>
      </c>
      <c r="U186" s="261">
        <v>165000000</v>
      </c>
      <c r="V186" s="259"/>
      <c r="W186" s="259">
        <v>268435623</v>
      </c>
      <c r="X186" s="259"/>
      <c r="Y186" s="259"/>
      <c r="Z186" s="259"/>
      <c r="AA186" s="259"/>
      <c r="AB186" s="259"/>
      <c r="AC186" s="259"/>
      <c r="AD186" s="259"/>
      <c r="AE186" s="259"/>
      <c r="AF186" s="259"/>
      <c r="AG186" s="943">
        <f>SUM(V186+W186+X186+Y186+Z186+AB186+AC186+AD186+AF186)</f>
        <v>268435623</v>
      </c>
      <c r="AH186" s="258" t="s">
        <v>265</v>
      </c>
      <c r="AI186" s="258" t="s">
        <v>1170</v>
      </c>
      <c r="AJ186" s="258" t="s">
        <v>1196</v>
      </c>
      <c r="AK186" s="258" t="s">
        <v>1197</v>
      </c>
      <c r="AL186" s="258" t="s">
        <v>1198</v>
      </c>
      <c r="AM186" s="258">
        <v>20</v>
      </c>
      <c r="AN186" s="262">
        <v>100</v>
      </c>
    </row>
    <row r="187" spans="1:40" ht="135" x14ac:dyDescent="0.25">
      <c r="A187" s="1207"/>
      <c r="B187" s="1210"/>
      <c r="C187" s="1210"/>
      <c r="D187" s="1210"/>
      <c r="E187" s="1210"/>
      <c r="F187" s="1055"/>
      <c r="G187" s="1213"/>
      <c r="H187" s="1055"/>
      <c r="I187" s="258">
        <v>3</v>
      </c>
      <c r="J187" s="258" t="s">
        <v>1199</v>
      </c>
      <c r="K187" s="258" t="s">
        <v>1200</v>
      </c>
      <c r="L187" s="258" t="s">
        <v>1201</v>
      </c>
      <c r="M187" s="259">
        <v>850000000</v>
      </c>
      <c r="N187" s="258" t="s">
        <v>1185</v>
      </c>
      <c r="O187" s="260">
        <v>41639</v>
      </c>
      <c r="P187" s="260">
        <v>42003</v>
      </c>
      <c r="Q187" s="260">
        <v>42003</v>
      </c>
      <c r="R187" s="258" t="s">
        <v>1202</v>
      </c>
      <c r="S187" s="259">
        <v>127500000</v>
      </c>
      <c r="T187" s="258" t="s">
        <v>1203</v>
      </c>
      <c r="U187" s="261">
        <v>127500000</v>
      </c>
      <c r="V187" s="259"/>
      <c r="W187" s="259"/>
      <c r="X187" s="259"/>
      <c r="Y187" s="259"/>
      <c r="Z187" s="259"/>
      <c r="AA187" s="259"/>
      <c r="AB187" s="259"/>
      <c r="AC187" s="259"/>
      <c r="AD187" s="259"/>
      <c r="AE187" s="259"/>
      <c r="AF187" s="259"/>
      <c r="AG187" s="259"/>
      <c r="AH187" s="258" t="s">
        <v>547</v>
      </c>
      <c r="AI187" s="258" t="s">
        <v>1170</v>
      </c>
      <c r="AJ187" s="258" t="s">
        <v>1204</v>
      </c>
      <c r="AK187" s="258"/>
      <c r="AL187" s="258"/>
      <c r="AM187" s="258">
        <v>20</v>
      </c>
      <c r="AN187" s="262">
        <f t="shared" si="15"/>
        <v>0</v>
      </c>
    </row>
    <row r="188" spans="1:40" x14ac:dyDescent="0.25">
      <c r="A188" s="944"/>
      <c r="B188" s="944"/>
      <c r="C188" s="944"/>
      <c r="D188" s="944"/>
      <c r="E188" s="944"/>
      <c r="F188" s="944"/>
      <c r="G188" s="944"/>
      <c r="H188" s="944"/>
      <c r="I188" s="944"/>
      <c r="J188" s="944"/>
      <c r="K188" s="944"/>
      <c r="L188" s="944"/>
      <c r="M188" s="945">
        <f>SUM(M185:M187)</f>
        <v>4850000000</v>
      </c>
      <c r="N188" s="944"/>
      <c r="O188" s="944"/>
      <c r="P188" s="944"/>
      <c r="Q188" s="944"/>
      <c r="R188" s="944"/>
      <c r="S188" s="944"/>
      <c r="T188" s="944"/>
      <c r="U188" s="945">
        <f>SUM(U185:U187)</f>
        <v>727500000</v>
      </c>
      <c r="V188" s="944"/>
      <c r="W188" s="944"/>
      <c r="X188" s="944"/>
      <c r="Y188" s="944"/>
      <c r="Z188" s="944"/>
      <c r="AA188" s="944"/>
      <c r="AB188" s="944"/>
      <c r="AC188" s="944"/>
      <c r="AD188" s="944"/>
      <c r="AE188" s="944"/>
      <c r="AF188" s="944"/>
      <c r="AG188" s="945">
        <f>SUM(AG185:AG187)</f>
        <v>2012272803</v>
      </c>
      <c r="AH188" s="944"/>
      <c r="AI188" s="944"/>
      <c r="AJ188" s="944"/>
      <c r="AK188" s="944"/>
      <c r="AL188" s="944"/>
      <c r="AM188" s="944">
        <f>SUM(AM185:AM187)/3</f>
        <v>20</v>
      </c>
      <c r="AN188" s="946">
        <f>SUM(AN185:AN187)/3</f>
        <v>66.666666666666671</v>
      </c>
    </row>
    <row r="189" spans="1:40" ht="120" x14ac:dyDescent="0.25">
      <c r="A189" s="1214">
        <v>37</v>
      </c>
      <c r="B189" s="1214" t="s">
        <v>390</v>
      </c>
      <c r="C189" s="1214" t="s">
        <v>1351</v>
      </c>
      <c r="D189" s="1214">
        <v>2013</v>
      </c>
      <c r="E189" s="1214"/>
      <c r="F189" s="1214" t="s">
        <v>1205</v>
      </c>
      <c r="G189" s="1217">
        <v>2944008000</v>
      </c>
      <c r="H189" s="1214" t="s">
        <v>1206</v>
      </c>
      <c r="I189" s="581">
        <v>1</v>
      </c>
      <c r="J189" s="581" t="s">
        <v>1207</v>
      </c>
      <c r="K189" s="581" t="s">
        <v>1208</v>
      </c>
      <c r="L189" s="581" t="s">
        <v>1209</v>
      </c>
      <c r="M189" s="947">
        <v>105000000</v>
      </c>
      <c r="N189" s="581" t="s">
        <v>1210</v>
      </c>
      <c r="O189" s="948">
        <v>41429</v>
      </c>
      <c r="P189" s="948">
        <v>41639</v>
      </c>
      <c r="Q189" s="948">
        <v>41820</v>
      </c>
      <c r="R189" s="581" t="s">
        <v>1368</v>
      </c>
      <c r="S189" s="947">
        <v>105000000</v>
      </c>
      <c r="T189" s="581" t="s">
        <v>1211</v>
      </c>
      <c r="U189" s="949">
        <v>105000000</v>
      </c>
      <c r="V189" s="947"/>
      <c r="W189" s="947">
        <v>17569942</v>
      </c>
      <c r="X189" s="947">
        <v>4068275</v>
      </c>
      <c r="Y189" s="947">
        <v>7020997</v>
      </c>
      <c r="Z189" s="947">
        <v>4174258</v>
      </c>
      <c r="AA189" s="947">
        <v>2400188</v>
      </c>
      <c r="AB189" s="947">
        <v>99469</v>
      </c>
      <c r="AC189" s="947"/>
      <c r="AD189" s="947"/>
      <c r="AE189" s="947"/>
      <c r="AF189" s="947"/>
      <c r="AG189" s="947">
        <f>SUM(W189:AF189)</f>
        <v>35333129</v>
      </c>
      <c r="AH189" s="581" t="s">
        <v>265</v>
      </c>
      <c r="AI189" s="581" t="s">
        <v>1212</v>
      </c>
      <c r="AJ189" s="581" t="s">
        <v>1213</v>
      </c>
      <c r="AK189" s="581" t="s">
        <v>1214</v>
      </c>
      <c r="AL189" s="581" t="s">
        <v>1215</v>
      </c>
      <c r="AM189" s="581">
        <v>80</v>
      </c>
      <c r="AN189" s="145">
        <f t="shared" si="15"/>
        <v>33.650599047619046</v>
      </c>
    </row>
    <row r="190" spans="1:40" ht="120" x14ac:dyDescent="0.25">
      <c r="A190" s="1215"/>
      <c r="B190" s="1215"/>
      <c r="C190" s="1215"/>
      <c r="D190" s="1215"/>
      <c r="E190" s="1215"/>
      <c r="F190" s="1215"/>
      <c r="G190" s="1218"/>
      <c r="H190" s="1215"/>
      <c r="I190" s="581">
        <v>2</v>
      </c>
      <c r="J190" s="581" t="s">
        <v>1216</v>
      </c>
      <c r="K190" s="581" t="s">
        <v>1217</v>
      </c>
      <c r="L190" s="581" t="s">
        <v>1209</v>
      </c>
      <c r="M190" s="947">
        <v>42000000</v>
      </c>
      <c r="N190" s="581" t="s">
        <v>1218</v>
      </c>
      <c r="O190" s="948">
        <v>41439</v>
      </c>
      <c r="P190" s="948">
        <v>41639</v>
      </c>
      <c r="Q190" s="948">
        <v>41820</v>
      </c>
      <c r="R190" s="581" t="s">
        <v>1369</v>
      </c>
      <c r="S190" s="947">
        <v>42000000</v>
      </c>
      <c r="T190" s="581" t="s">
        <v>1219</v>
      </c>
      <c r="U190" s="949">
        <v>42000000</v>
      </c>
      <c r="V190" s="947"/>
      <c r="W190" s="947">
        <v>3726035</v>
      </c>
      <c r="X190" s="947">
        <v>1198844</v>
      </c>
      <c r="Y190" s="947">
        <v>703904</v>
      </c>
      <c r="Z190" s="947">
        <v>487660</v>
      </c>
      <c r="AA190" s="947">
        <v>1351319</v>
      </c>
      <c r="AB190" s="947"/>
      <c r="AC190" s="947"/>
      <c r="AD190" s="947"/>
      <c r="AE190" s="947"/>
      <c r="AF190" s="947"/>
      <c r="AG190" s="947">
        <f t="shared" ref="AG190:AG195" si="16">SUM(W190:AF190)</f>
        <v>7467762</v>
      </c>
      <c r="AH190" s="581" t="s">
        <v>265</v>
      </c>
      <c r="AI190" s="581" t="s">
        <v>1212</v>
      </c>
      <c r="AJ190" s="581" t="s">
        <v>1220</v>
      </c>
      <c r="AK190" s="581" t="s">
        <v>1221</v>
      </c>
      <c r="AL190" s="581" t="s">
        <v>1222</v>
      </c>
      <c r="AM190" s="581">
        <v>80</v>
      </c>
      <c r="AN190" s="145">
        <f t="shared" si="15"/>
        <v>17.780385714285714</v>
      </c>
    </row>
    <row r="191" spans="1:40" ht="135" x14ac:dyDescent="0.25">
      <c r="A191" s="1215"/>
      <c r="B191" s="1215"/>
      <c r="C191" s="1215"/>
      <c r="D191" s="1215"/>
      <c r="E191" s="1215"/>
      <c r="F191" s="1215"/>
      <c r="G191" s="1218"/>
      <c r="H191" s="1215"/>
      <c r="I191" s="581">
        <v>3</v>
      </c>
      <c r="J191" s="581" t="s">
        <v>1223</v>
      </c>
      <c r="K191" s="581" t="s">
        <v>1224</v>
      </c>
      <c r="L191" s="581" t="s">
        <v>1209</v>
      </c>
      <c r="M191" s="947">
        <v>168000000</v>
      </c>
      <c r="N191" s="581" t="s">
        <v>1225</v>
      </c>
      <c r="O191" s="948">
        <v>41452</v>
      </c>
      <c r="P191" s="948">
        <v>41639</v>
      </c>
      <c r="Q191" s="948">
        <v>41820</v>
      </c>
      <c r="R191" s="581" t="s">
        <v>1226</v>
      </c>
      <c r="S191" s="947">
        <v>168000000</v>
      </c>
      <c r="T191" s="581" t="s">
        <v>1227</v>
      </c>
      <c r="U191" s="949">
        <v>168000000</v>
      </c>
      <c r="V191" s="947"/>
      <c r="W191" s="947">
        <v>7488720</v>
      </c>
      <c r="X191" s="947">
        <v>22773960</v>
      </c>
      <c r="Y191" s="947">
        <v>25660530</v>
      </c>
      <c r="Z191" s="947">
        <v>18245790</v>
      </c>
      <c r="AA191" s="947">
        <v>15257700</v>
      </c>
      <c r="AB191" s="947"/>
      <c r="AC191" s="947"/>
      <c r="AD191" s="947"/>
      <c r="AE191" s="947"/>
      <c r="AF191" s="947"/>
      <c r="AG191" s="947">
        <f t="shared" si="16"/>
        <v>89426700</v>
      </c>
      <c r="AH191" s="581" t="s">
        <v>265</v>
      </c>
      <c r="AI191" s="581" t="s">
        <v>1212</v>
      </c>
      <c r="AJ191" s="581" t="s">
        <v>1228</v>
      </c>
      <c r="AK191" s="581" t="s">
        <v>1221</v>
      </c>
      <c r="AL191" s="581" t="s">
        <v>1222</v>
      </c>
      <c r="AM191" s="581">
        <v>80</v>
      </c>
      <c r="AN191" s="145">
        <f t="shared" si="15"/>
        <v>53.230178571428574</v>
      </c>
    </row>
    <row r="192" spans="1:40" ht="120" x14ac:dyDescent="0.25">
      <c r="A192" s="1215"/>
      <c r="B192" s="1215"/>
      <c r="C192" s="1215"/>
      <c r="D192" s="1215"/>
      <c r="E192" s="1215"/>
      <c r="F192" s="1215"/>
      <c r="G192" s="1218"/>
      <c r="H192" s="1215"/>
      <c r="I192" s="581">
        <v>4</v>
      </c>
      <c r="J192" s="581" t="s">
        <v>1229</v>
      </c>
      <c r="K192" s="581" t="s">
        <v>1230</v>
      </c>
      <c r="L192" s="581" t="s">
        <v>1209</v>
      </c>
      <c r="M192" s="947">
        <v>654000000</v>
      </c>
      <c r="N192" s="581" t="s">
        <v>1231</v>
      </c>
      <c r="O192" s="948">
        <v>41423</v>
      </c>
      <c r="P192" s="948">
        <v>41639</v>
      </c>
      <c r="Q192" s="948">
        <v>41820</v>
      </c>
      <c r="R192" s="581" t="s">
        <v>1232</v>
      </c>
      <c r="S192" s="947">
        <v>654000000</v>
      </c>
      <c r="T192" s="581" t="s">
        <v>1233</v>
      </c>
      <c r="U192" s="949">
        <v>654000000</v>
      </c>
      <c r="V192" s="947"/>
      <c r="W192" s="947">
        <v>97506984</v>
      </c>
      <c r="X192" s="947">
        <v>31392154</v>
      </c>
      <c r="Y192" s="947">
        <v>29248717</v>
      </c>
      <c r="Z192" s="947">
        <v>27601333</v>
      </c>
      <c r="AA192" s="947">
        <v>28526048</v>
      </c>
      <c r="AB192" s="947"/>
      <c r="AC192" s="947"/>
      <c r="AD192" s="947"/>
      <c r="AE192" s="947"/>
      <c r="AF192" s="947"/>
      <c r="AG192" s="947">
        <f t="shared" si="16"/>
        <v>214275236</v>
      </c>
      <c r="AH192" s="581" t="s">
        <v>265</v>
      </c>
      <c r="AI192" s="581" t="s">
        <v>1212</v>
      </c>
      <c r="AJ192" s="581" t="s">
        <v>1234</v>
      </c>
      <c r="AK192" s="581" t="s">
        <v>1221</v>
      </c>
      <c r="AL192" s="581" t="s">
        <v>1235</v>
      </c>
      <c r="AM192" s="581">
        <v>80</v>
      </c>
      <c r="AN192" s="145">
        <f t="shared" si="15"/>
        <v>32.763797553516817</v>
      </c>
    </row>
    <row r="193" spans="1:40" ht="120" x14ac:dyDescent="0.25">
      <c r="A193" s="1215"/>
      <c r="B193" s="1215"/>
      <c r="C193" s="1215"/>
      <c r="D193" s="1215"/>
      <c r="E193" s="1215"/>
      <c r="F193" s="1215"/>
      <c r="G193" s="1218"/>
      <c r="H193" s="1215"/>
      <c r="I193" s="581">
        <v>5</v>
      </c>
      <c r="J193" s="581" t="s">
        <v>1236</v>
      </c>
      <c r="K193" s="581" t="s">
        <v>1237</v>
      </c>
      <c r="L193" s="581" t="s">
        <v>1209</v>
      </c>
      <c r="M193" s="947">
        <v>55500000</v>
      </c>
      <c r="N193" s="581" t="s">
        <v>1238</v>
      </c>
      <c r="O193" s="948">
        <v>41453</v>
      </c>
      <c r="P193" s="948">
        <v>41639</v>
      </c>
      <c r="Q193" s="948">
        <v>41820</v>
      </c>
      <c r="R193" s="581" t="s">
        <v>1239</v>
      </c>
      <c r="S193" s="947">
        <v>55500000</v>
      </c>
      <c r="T193" s="581" t="s">
        <v>1240</v>
      </c>
      <c r="U193" s="949">
        <v>55500000</v>
      </c>
      <c r="V193" s="947"/>
      <c r="W193" s="947">
        <v>11610527</v>
      </c>
      <c r="X193" s="947">
        <v>9625555</v>
      </c>
      <c r="Y193" s="947">
        <v>3431376</v>
      </c>
      <c r="Z193" s="947">
        <v>4327830</v>
      </c>
      <c r="AA193" s="947">
        <v>2890332</v>
      </c>
      <c r="AB193" s="947"/>
      <c r="AC193" s="947"/>
      <c r="AD193" s="947"/>
      <c r="AE193" s="947"/>
      <c r="AF193" s="947"/>
      <c r="AG193" s="947">
        <f t="shared" si="16"/>
        <v>31885620</v>
      </c>
      <c r="AH193" s="581" t="s">
        <v>265</v>
      </c>
      <c r="AI193" s="581" t="s">
        <v>1212</v>
      </c>
      <c r="AJ193" s="581" t="s">
        <v>1241</v>
      </c>
      <c r="AK193" s="581" t="s">
        <v>1221</v>
      </c>
      <c r="AL193" s="581" t="s">
        <v>1242</v>
      </c>
      <c r="AM193" s="581">
        <v>90</v>
      </c>
      <c r="AN193" s="145">
        <f t="shared" si="15"/>
        <v>57.451567567567565</v>
      </c>
    </row>
    <row r="194" spans="1:40" ht="120" x14ac:dyDescent="0.25">
      <c r="A194" s="1215"/>
      <c r="B194" s="1215"/>
      <c r="C194" s="1215"/>
      <c r="D194" s="1215"/>
      <c r="E194" s="1215"/>
      <c r="F194" s="1215"/>
      <c r="G194" s="1218"/>
      <c r="H194" s="1215"/>
      <c r="I194" s="581">
        <v>6</v>
      </c>
      <c r="J194" s="581" t="s">
        <v>1243</v>
      </c>
      <c r="K194" s="581" t="s">
        <v>1244</v>
      </c>
      <c r="L194" s="581" t="s">
        <v>1209</v>
      </c>
      <c r="M194" s="947">
        <v>117000000</v>
      </c>
      <c r="N194" s="581" t="s">
        <v>1245</v>
      </c>
      <c r="O194" s="948">
        <v>41426</v>
      </c>
      <c r="P194" s="948">
        <v>41639</v>
      </c>
      <c r="Q194" s="948">
        <v>41820</v>
      </c>
      <c r="R194" s="581" t="s">
        <v>1246</v>
      </c>
      <c r="S194" s="947">
        <v>117000000</v>
      </c>
      <c r="T194" s="581" t="s">
        <v>1247</v>
      </c>
      <c r="U194" s="949">
        <v>117000000</v>
      </c>
      <c r="V194" s="947"/>
      <c r="W194" s="947">
        <v>17500587</v>
      </c>
      <c r="X194" s="947">
        <v>2884072</v>
      </c>
      <c r="Y194" s="947">
        <v>4168026</v>
      </c>
      <c r="Z194" s="947">
        <v>4173417</v>
      </c>
      <c r="AA194" s="947">
        <v>4067028</v>
      </c>
      <c r="AB194" s="947"/>
      <c r="AC194" s="947"/>
      <c r="AD194" s="947"/>
      <c r="AE194" s="947"/>
      <c r="AF194" s="947"/>
      <c r="AG194" s="947">
        <f t="shared" si="16"/>
        <v>32793130</v>
      </c>
      <c r="AH194" s="581" t="s">
        <v>265</v>
      </c>
      <c r="AI194" s="581" t="s">
        <v>1212</v>
      </c>
      <c r="AJ194" s="581" t="s">
        <v>1248</v>
      </c>
      <c r="AK194" s="581" t="s">
        <v>1221</v>
      </c>
      <c r="AL194" s="581" t="s">
        <v>1222</v>
      </c>
      <c r="AM194" s="581">
        <v>80</v>
      </c>
      <c r="AN194" s="145">
        <f t="shared" si="15"/>
        <v>28.02831623931624</v>
      </c>
    </row>
    <row r="195" spans="1:40" ht="135" x14ac:dyDescent="0.25">
      <c r="A195" s="1215"/>
      <c r="B195" s="1215"/>
      <c r="C195" s="1215"/>
      <c r="D195" s="1215"/>
      <c r="E195" s="1215"/>
      <c r="F195" s="1215"/>
      <c r="G195" s="1218"/>
      <c r="H195" s="1215"/>
      <c r="I195" s="581">
        <v>7</v>
      </c>
      <c r="J195" s="581" t="s">
        <v>1249</v>
      </c>
      <c r="K195" s="581" t="s">
        <v>1250</v>
      </c>
      <c r="L195" s="581" t="s">
        <v>1209</v>
      </c>
      <c r="M195" s="947">
        <v>474000000</v>
      </c>
      <c r="N195" s="581" t="s">
        <v>1251</v>
      </c>
      <c r="O195" s="948">
        <v>41537</v>
      </c>
      <c r="P195" s="948">
        <v>41639</v>
      </c>
      <c r="Q195" s="948">
        <v>41820</v>
      </c>
      <c r="R195" s="581" t="s">
        <v>1252</v>
      </c>
      <c r="S195" s="947">
        <v>474000000</v>
      </c>
      <c r="T195" s="581" t="s">
        <v>1370</v>
      </c>
      <c r="U195" s="949">
        <v>474000000</v>
      </c>
      <c r="V195" s="947"/>
      <c r="W195" s="947">
        <v>59437440</v>
      </c>
      <c r="X195" s="947">
        <v>26872200</v>
      </c>
      <c r="Y195" s="947">
        <v>32008860</v>
      </c>
      <c r="Z195" s="947"/>
      <c r="AA195" s="947"/>
      <c r="AB195" s="947"/>
      <c r="AC195" s="947"/>
      <c r="AD195" s="947"/>
      <c r="AE195" s="947"/>
      <c r="AF195" s="947"/>
      <c r="AG195" s="947">
        <f t="shared" si="16"/>
        <v>118318500</v>
      </c>
      <c r="AH195" s="581" t="s">
        <v>265</v>
      </c>
      <c r="AI195" s="581" t="s">
        <v>1212</v>
      </c>
      <c r="AJ195" s="581" t="s">
        <v>1253</v>
      </c>
      <c r="AK195" s="581" t="s">
        <v>1221</v>
      </c>
      <c r="AL195" s="581" t="s">
        <v>1254</v>
      </c>
      <c r="AM195" s="581">
        <v>80</v>
      </c>
      <c r="AN195" s="145">
        <f t="shared" si="15"/>
        <v>24.961708860759494</v>
      </c>
    </row>
    <row r="196" spans="1:40" ht="120" x14ac:dyDescent="0.25">
      <c r="A196" s="1215"/>
      <c r="B196" s="1215"/>
      <c r="C196" s="1215"/>
      <c r="D196" s="1215"/>
      <c r="E196" s="1215"/>
      <c r="F196" s="1215"/>
      <c r="G196" s="1218"/>
      <c r="H196" s="1215"/>
      <c r="I196" s="581">
        <v>8</v>
      </c>
      <c r="J196" s="581" t="s">
        <v>1255</v>
      </c>
      <c r="K196" s="581" t="s">
        <v>1256</v>
      </c>
      <c r="L196" s="581" t="s">
        <v>1209</v>
      </c>
      <c r="M196" s="947">
        <v>55500000</v>
      </c>
      <c r="N196" s="581" t="s">
        <v>1257</v>
      </c>
      <c r="O196" s="948">
        <v>41518</v>
      </c>
      <c r="P196" s="948">
        <v>41639</v>
      </c>
      <c r="Q196" s="948">
        <v>41820</v>
      </c>
      <c r="R196" s="581" t="s">
        <v>1258</v>
      </c>
      <c r="S196" s="947">
        <v>55500000</v>
      </c>
      <c r="T196" s="581" t="s">
        <v>1259</v>
      </c>
      <c r="U196" s="949">
        <v>55500000</v>
      </c>
      <c r="V196" s="947"/>
      <c r="W196" s="947">
        <v>1368324</v>
      </c>
      <c r="X196" s="947">
        <v>994487</v>
      </c>
      <c r="Y196" s="947">
        <v>2854057</v>
      </c>
      <c r="Z196" s="947">
        <v>1916760</v>
      </c>
      <c r="AA196" s="947"/>
      <c r="AB196" s="947"/>
      <c r="AC196" s="947"/>
      <c r="AD196" s="947"/>
      <c r="AE196" s="947"/>
      <c r="AF196" s="947"/>
      <c r="AG196" s="947">
        <f>SUM(V196:AF196)</f>
        <v>7133628</v>
      </c>
      <c r="AH196" s="581" t="s">
        <v>265</v>
      </c>
      <c r="AI196" s="581" t="s">
        <v>1212</v>
      </c>
      <c r="AJ196" s="581" t="s">
        <v>1260</v>
      </c>
      <c r="AK196" s="581" t="s">
        <v>1221</v>
      </c>
      <c r="AL196" s="581" t="s">
        <v>1254</v>
      </c>
      <c r="AM196" s="581">
        <v>80</v>
      </c>
      <c r="AN196" s="145">
        <f t="shared" si="15"/>
        <v>12.853383783783784</v>
      </c>
    </row>
    <row r="197" spans="1:40" ht="120" x14ac:dyDescent="0.25">
      <c r="A197" s="1215"/>
      <c r="B197" s="1215"/>
      <c r="C197" s="1215"/>
      <c r="D197" s="1215"/>
      <c r="E197" s="1215"/>
      <c r="F197" s="1215"/>
      <c r="G197" s="1218"/>
      <c r="H197" s="1215"/>
      <c r="I197" s="581">
        <v>9</v>
      </c>
      <c r="J197" s="581" t="s">
        <v>1261</v>
      </c>
      <c r="K197" s="581" t="s">
        <v>1262</v>
      </c>
      <c r="L197" s="581" t="s">
        <v>1209</v>
      </c>
      <c r="M197" s="947">
        <v>57000000</v>
      </c>
      <c r="N197" s="581" t="s">
        <v>1263</v>
      </c>
      <c r="O197" s="948">
        <v>41432</v>
      </c>
      <c r="P197" s="948">
        <v>41639</v>
      </c>
      <c r="Q197" s="948">
        <v>41820</v>
      </c>
      <c r="R197" s="581" t="s">
        <v>1264</v>
      </c>
      <c r="S197" s="947">
        <v>57000000</v>
      </c>
      <c r="T197" s="581" t="s">
        <v>1265</v>
      </c>
      <c r="U197" s="949">
        <v>57000000</v>
      </c>
      <c r="V197" s="947"/>
      <c r="W197" s="947">
        <v>10789182</v>
      </c>
      <c r="X197" s="947">
        <v>7670421</v>
      </c>
      <c r="Y197" s="947">
        <v>4849931</v>
      </c>
      <c r="Z197" s="947"/>
      <c r="AA197" s="947"/>
      <c r="AB197" s="947"/>
      <c r="AC197" s="947"/>
      <c r="AD197" s="947"/>
      <c r="AE197" s="947"/>
      <c r="AF197" s="947"/>
      <c r="AG197" s="947">
        <f t="shared" ref="AG197:AG202" si="17">SUM(V197:AF197)</f>
        <v>23309534</v>
      </c>
      <c r="AH197" s="581" t="s">
        <v>265</v>
      </c>
      <c r="AI197" s="581" t="s">
        <v>1212</v>
      </c>
      <c r="AJ197" s="581" t="s">
        <v>1266</v>
      </c>
      <c r="AK197" s="581" t="s">
        <v>1221</v>
      </c>
      <c r="AL197" s="581" t="s">
        <v>1222</v>
      </c>
      <c r="AM197" s="581">
        <v>80</v>
      </c>
      <c r="AN197" s="145">
        <f t="shared" si="15"/>
        <v>40.893919298245613</v>
      </c>
    </row>
    <row r="198" spans="1:40" ht="120" x14ac:dyDescent="0.25">
      <c r="A198" s="1215"/>
      <c r="B198" s="1215"/>
      <c r="C198" s="1215"/>
      <c r="D198" s="1215"/>
      <c r="E198" s="1215"/>
      <c r="F198" s="1215"/>
      <c r="G198" s="1218"/>
      <c r="H198" s="1215"/>
      <c r="I198" s="581">
        <v>10</v>
      </c>
      <c r="J198" s="581" t="s">
        <v>1267</v>
      </c>
      <c r="K198" s="581" t="s">
        <v>1268</v>
      </c>
      <c r="L198" s="581" t="s">
        <v>1209</v>
      </c>
      <c r="M198" s="947">
        <v>187500000</v>
      </c>
      <c r="N198" s="581" t="s">
        <v>1269</v>
      </c>
      <c r="O198" s="948">
        <v>41488</v>
      </c>
      <c r="P198" s="948">
        <v>41639</v>
      </c>
      <c r="Q198" s="948">
        <v>41820</v>
      </c>
      <c r="R198" s="581" t="s">
        <v>1270</v>
      </c>
      <c r="S198" s="947">
        <v>187500000</v>
      </c>
      <c r="T198" s="581" t="s">
        <v>1271</v>
      </c>
      <c r="U198" s="949">
        <v>187500000</v>
      </c>
      <c r="V198" s="947"/>
      <c r="W198" s="947">
        <v>2865308</v>
      </c>
      <c r="X198" s="947">
        <v>6433044</v>
      </c>
      <c r="Y198" s="947">
        <v>4761164</v>
      </c>
      <c r="Z198" s="947">
        <v>3359478</v>
      </c>
      <c r="AA198" s="947">
        <v>1354271</v>
      </c>
      <c r="AB198" s="947"/>
      <c r="AC198" s="947"/>
      <c r="AD198" s="947"/>
      <c r="AE198" s="947"/>
      <c r="AF198" s="947"/>
      <c r="AG198" s="947">
        <f t="shared" si="17"/>
        <v>18773265</v>
      </c>
      <c r="AH198" s="581" t="s">
        <v>265</v>
      </c>
      <c r="AI198" s="581" t="s">
        <v>1212</v>
      </c>
      <c r="AJ198" s="581" t="s">
        <v>1272</v>
      </c>
      <c r="AK198" s="581" t="s">
        <v>1221</v>
      </c>
      <c r="AL198" s="581" t="s">
        <v>1273</v>
      </c>
      <c r="AM198" s="581">
        <v>80</v>
      </c>
      <c r="AN198" s="145">
        <f t="shared" si="15"/>
        <v>10.012408000000001</v>
      </c>
    </row>
    <row r="199" spans="1:40" ht="120" x14ac:dyDescent="0.25">
      <c r="A199" s="1215"/>
      <c r="B199" s="1215"/>
      <c r="C199" s="1215"/>
      <c r="D199" s="1215"/>
      <c r="E199" s="1215"/>
      <c r="F199" s="1215"/>
      <c r="G199" s="1218"/>
      <c r="H199" s="1215"/>
      <c r="I199" s="581">
        <v>11</v>
      </c>
      <c r="J199" s="581" t="s">
        <v>1274</v>
      </c>
      <c r="K199" s="581" t="s">
        <v>1275</v>
      </c>
      <c r="L199" s="581" t="s">
        <v>1209</v>
      </c>
      <c r="M199" s="947">
        <v>189000000</v>
      </c>
      <c r="N199" s="581" t="s">
        <v>1276</v>
      </c>
      <c r="O199" s="948">
        <v>41429</v>
      </c>
      <c r="P199" s="948">
        <v>41639</v>
      </c>
      <c r="Q199" s="948">
        <v>41820</v>
      </c>
      <c r="R199" s="581" t="s">
        <v>1277</v>
      </c>
      <c r="S199" s="947">
        <v>189000000</v>
      </c>
      <c r="T199" s="581" t="s">
        <v>1278</v>
      </c>
      <c r="U199" s="949">
        <v>189000000</v>
      </c>
      <c r="V199" s="947"/>
      <c r="W199" s="947">
        <v>36670755</v>
      </c>
      <c r="X199" s="947">
        <v>10742747</v>
      </c>
      <c r="Y199" s="947">
        <v>10882325</v>
      </c>
      <c r="Z199" s="947">
        <v>7426141</v>
      </c>
      <c r="AA199" s="947">
        <v>7674165</v>
      </c>
      <c r="AB199" s="947"/>
      <c r="AC199" s="947"/>
      <c r="AD199" s="947"/>
      <c r="AE199" s="947"/>
      <c r="AF199" s="947"/>
      <c r="AG199" s="947">
        <f t="shared" si="17"/>
        <v>73396133</v>
      </c>
      <c r="AH199" s="581" t="s">
        <v>265</v>
      </c>
      <c r="AI199" s="581" t="s">
        <v>1212</v>
      </c>
      <c r="AJ199" s="581" t="s">
        <v>1279</v>
      </c>
      <c r="AK199" s="581" t="s">
        <v>1221</v>
      </c>
      <c r="AL199" s="581" t="s">
        <v>1222</v>
      </c>
      <c r="AM199" s="581">
        <v>80</v>
      </c>
      <c r="AN199" s="145">
        <f t="shared" si="15"/>
        <v>38.833932804232802</v>
      </c>
    </row>
    <row r="200" spans="1:40" ht="120" x14ac:dyDescent="0.25">
      <c r="A200" s="1215"/>
      <c r="B200" s="1215"/>
      <c r="C200" s="1215"/>
      <c r="D200" s="1215"/>
      <c r="E200" s="1215"/>
      <c r="F200" s="1215"/>
      <c r="G200" s="1218"/>
      <c r="H200" s="1215"/>
      <c r="I200" s="581">
        <v>12</v>
      </c>
      <c r="J200" s="581" t="s">
        <v>1280</v>
      </c>
      <c r="K200" s="581" t="s">
        <v>1281</v>
      </c>
      <c r="L200" s="581" t="s">
        <v>1209</v>
      </c>
      <c r="M200" s="947">
        <v>34500000</v>
      </c>
      <c r="N200" s="581" t="s">
        <v>1282</v>
      </c>
      <c r="O200" s="948">
        <v>41429</v>
      </c>
      <c r="P200" s="948">
        <v>41639</v>
      </c>
      <c r="Q200" s="948">
        <v>41698</v>
      </c>
      <c r="R200" s="581" t="s">
        <v>1283</v>
      </c>
      <c r="S200" s="947">
        <v>34500000</v>
      </c>
      <c r="T200" s="581" t="s">
        <v>1284</v>
      </c>
      <c r="U200" s="949">
        <v>34500000</v>
      </c>
      <c r="V200" s="947"/>
      <c r="W200" s="947">
        <v>12157844</v>
      </c>
      <c r="X200" s="947">
        <v>3507210</v>
      </c>
      <c r="Y200" s="947">
        <v>3705840</v>
      </c>
      <c r="Z200" s="947"/>
      <c r="AA200" s="947"/>
      <c r="AB200" s="947"/>
      <c r="AC200" s="947"/>
      <c r="AD200" s="947"/>
      <c r="AE200" s="947"/>
      <c r="AF200" s="947"/>
      <c r="AG200" s="947">
        <f t="shared" si="17"/>
        <v>19370894</v>
      </c>
      <c r="AH200" s="581" t="s">
        <v>265</v>
      </c>
      <c r="AI200" s="581" t="s">
        <v>1212</v>
      </c>
      <c r="AJ200" s="581" t="s">
        <v>1285</v>
      </c>
      <c r="AK200" s="581" t="s">
        <v>1221</v>
      </c>
      <c r="AL200" s="581" t="s">
        <v>1286</v>
      </c>
      <c r="AM200" s="581">
        <v>100</v>
      </c>
      <c r="AN200" s="145">
        <f t="shared" si="15"/>
        <v>56.147518840579707</v>
      </c>
    </row>
    <row r="201" spans="1:40" ht="120" x14ac:dyDescent="0.25">
      <c r="A201" s="1215"/>
      <c r="B201" s="1215"/>
      <c r="C201" s="1215"/>
      <c r="D201" s="1215"/>
      <c r="E201" s="1215"/>
      <c r="F201" s="1215"/>
      <c r="G201" s="1218"/>
      <c r="H201" s="1215"/>
      <c r="I201" s="581">
        <v>13</v>
      </c>
      <c r="J201" s="581" t="s">
        <v>1287</v>
      </c>
      <c r="K201" s="581" t="s">
        <v>1288</v>
      </c>
      <c r="L201" s="581" t="s">
        <v>1209</v>
      </c>
      <c r="M201" s="947">
        <v>124500000</v>
      </c>
      <c r="N201" s="581" t="s">
        <v>1289</v>
      </c>
      <c r="O201" s="948">
        <v>41431</v>
      </c>
      <c r="P201" s="948">
        <v>41639</v>
      </c>
      <c r="Q201" s="948">
        <v>41820</v>
      </c>
      <c r="R201" s="581" t="s">
        <v>1290</v>
      </c>
      <c r="S201" s="947">
        <v>124500000</v>
      </c>
      <c r="T201" s="581" t="s">
        <v>1291</v>
      </c>
      <c r="U201" s="949">
        <v>124500000</v>
      </c>
      <c r="V201" s="947"/>
      <c r="W201" s="947">
        <v>30364346</v>
      </c>
      <c r="X201" s="947"/>
      <c r="Y201" s="947"/>
      <c r="Z201" s="947"/>
      <c r="AA201" s="947"/>
      <c r="AB201" s="947"/>
      <c r="AC201" s="947"/>
      <c r="AD201" s="947"/>
      <c r="AE201" s="947"/>
      <c r="AF201" s="947"/>
      <c r="AG201" s="947">
        <f t="shared" si="17"/>
        <v>30364346</v>
      </c>
      <c r="AH201" s="581" t="s">
        <v>265</v>
      </c>
      <c r="AI201" s="581" t="s">
        <v>1212</v>
      </c>
      <c r="AJ201" s="581" t="s">
        <v>1292</v>
      </c>
      <c r="AK201" s="581" t="s">
        <v>1221</v>
      </c>
      <c r="AL201" s="581" t="s">
        <v>1222</v>
      </c>
      <c r="AM201" s="581">
        <v>80</v>
      </c>
      <c r="AN201" s="145">
        <f t="shared" si="15"/>
        <v>24.389032931726909</v>
      </c>
    </row>
    <row r="202" spans="1:40" ht="120" x14ac:dyDescent="0.25">
      <c r="A202" s="1215"/>
      <c r="B202" s="1215"/>
      <c r="C202" s="1215"/>
      <c r="D202" s="1215"/>
      <c r="E202" s="1215"/>
      <c r="F202" s="1215"/>
      <c r="G202" s="1218"/>
      <c r="H202" s="1215"/>
      <c r="I202" s="581">
        <v>14</v>
      </c>
      <c r="J202" s="581" t="s">
        <v>1293</v>
      </c>
      <c r="K202" s="581" t="s">
        <v>1294</v>
      </c>
      <c r="L202" s="581" t="s">
        <v>1209</v>
      </c>
      <c r="M202" s="947">
        <v>138000000</v>
      </c>
      <c r="N202" s="581" t="s">
        <v>1295</v>
      </c>
      <c r="O202" s="948">
        <v>41487</v>
      </c>
      <c r="P202" s="948">
        <v>41639</v>
      </c>
      <c r="Q202" s="948">
        <v>41820</v>
      </c>
      <c r="R202" s="581" t="s">
        <v>1296</v>
      </c>
      <c r="S202" s="947">
        <v>138000000</v>
      </c>
      <c r="T202" s="581" t="s">
        <v>1297</v>
      </c>
      <c r="U202" s="949">
        <v>138000000</v>
      </c>
      <c r="V202" s="947"/>
      <c r="W202" s="947">
        <v>6811275</v>
      </c>
      <c r="X202" s="947">
        <v>7290356</v>
      </c>
      <c r="Y202" s="947"/>
      <c r="Z202" s="947"/>
      <c r="AA202" s="947"/>
      <c r="AB202" s="947"/>
      <c r="AC202" s="947"/>
      <c r="AD202" s="947"/>
      <c r="AE202" s="947"/>
      <c r="AF202" s="947"/>
      <c r="AG202" s="947">
        <f t="shared" si="17"/>
        <v>14101631</v>
      </c>
      <c r="AH202" s="581" t="s">
        <v>265</v>
      </c>
      <c r="AI202" s="581" t="s">
        <v>1212</v>
      </c>
      <c r="AJ202" s="581" t="s">
        <v>1298</v>
      </c>
      <c r="AK202" s="581" t="s">
        <v>1214</v>
      </c>
      <c r="AL202" s="581" t="s">
        <v>1273</v>
      </c>
      <c r="AM202" s="581">
        <v>80</v>
      </c>
      <c r="AN202" s="145">
        <f t="shared" si="15"/>
        <v>10.218573188405797</v>
      </c>
    </row>
    <row r="203" spans="1:40" x14ac:dyDescent="0.25">
      <c r="A203" s="1216"/>
      <c r="B203" s="1216"/>
      <c r="C203" s="1216"/>
      <c r="D203" s="1216"/>
      <c r="E203" s="1216"/>
      <c r="F203" s="1216"/>
      <c r="G203" s="1219"/>
      <c r="H203" s="1216"/>
      <c r="I203" s="581"/>
      <c r="J203" s="581"/>
      <c r="K203" s="581"/>
      <c r="L203" s="581"/>
      <c r="M203" s="947">
        <f>SUM(M189:M202)</f>
        <v>2401500000</v>
      </c>
      <c r="N203" s="581"/>
      <c r="O203" s="948"/>
      <c r="P203" s="948"/>
      <c r="Q203" s="948"/>
      <c r="R203" s="581"/>
      <c r="S203" s="947">
        <f>SUM(S189:S202)</f>
        <v>2401500000</v>
      </c>
      <c r="T203" s="581"/>
      <c r="U203" s="947">
        <f>SUM(U189:U202)</f>
        <v>2401500000</v>
      </c>
      <c r="V203" s="947"/>
      <c r="W203" s="947"/>
      <c r="X203" s="947"/>
      <c r="Y203" s="947"/>
      <c r="Z203" s="947"/>
      <c r="AA203" s="947"/>
      <c r="AB203" s="947"/>
      <c r="AC203" s="947"/>
      <c r="AD203" s="947"/>
      <c r="AE203" s="947"/>
      <c r="AF203" s="947"/>
      <c r="AG203" s="947">
        <f>SUM(AG189:AG202)</f>
        <v>715949508</v>
      </c>
      <c r="AH203" s="581"/>
      <c r="AI203" s="581"/>
      <c r="AJ203" s="581"/>
      <c r="AK203" s="581"/>
      <c r="AL203" s="581"/>
      <c r="AM203" s="581">
        <f>SUM(AM189:AM202)/14</f>
        <v>82.142857142857139</v>
      </c>
      <c r="AN203" s="581">
        <f>SUM(AN189:AN202)/14</f>
        <v>31.515380171533433</v>
      </c>
    </row>
    <row r="204" spans="1:40" ht="105" x14ac:dyDescent="0.25">
      <c r="A204" s="950">
        <v>38</v>
      </c>
      <c r="B204" s="950" t="s">
        <v>844</v>
      </c>
      <c r="C204" s="950" t="s">
        <v>1375</v>
      </c>
      <c r="D204" s="950">
        <v>2013</v>
      </c>
      <c r="E204" s="950" t="s">
        <v>1376</v>
      </c>
      <c r="F204" s="950" t="s">
        <v>1667</v>
      </c>
      <c r="G204" s="951">
        <v>167379000</v>
      </c>
      <c r="H204" s="950" t="s">
        <v>1377</v>
      </c>
      <c r="I204" s="950">
        <v>1</v>
      </c>
      <c r="J204" s="950" t="s">
        <v>1378</v>
      </c>
      <c r="K204" s="950" t="s">
        <v>1379</v>
      </c>
      <c r="L204" s="950" t="s">
        <v>1380</v>
      </c>
      <c r="M204" s="951">
        <v>15908721</v>
      </c>
      <c r="N204" s="950" t="s">
        <v>1031</v>
      </c>
      <c r="O204" s="952">
        <v>41508</v>
      </c>
      <c r="P204" s="952">
        <v>41538</v>
      </c>
      <c r="Q204" s="952">
        <v>41538</v>
      </c>
      <c r="R204" s="950" t="s">
        <v>1381</v>
      </c>
      <c r="S204" s="951">
        <v>20000000</v>
      </c>
      <c r="T204" s="950" t="s">
        <v>1382</v>
      </c>
      <c r="U204" s="951">
        <v>15908721</v>
      </c>
      <c r="V204" s="951"/>
      <c r="W204" s="951">
        <v>15908721</v>
      </c>
      <c r="X204" s="951"/>
      <c r="Y204" s="951"/>
      <c r="Z204" s="951"/>
      <c r="AA204" s="951"/>
      <c r="AB204" s="951"/>
      <c r="AC204" s="951"/>
      <c r="AD204" s="951"/>
      <c r="AE204" s="951"/>
      <c r="AF204" s="951"/>
      <c r="AG204" s="951">
        <f>SUM(V204:AF204)</f>
        <v>15908721</v>
      </c>
      <c r="AH204" s="950" t="s">
        <v>237</v>
      </c>
      <c r="AI204" s="950" t="s">
        <v>1383</v>
      </c>
      <c r="AJ204" s="950" t="s">
        <v>1384</v>
      </c>
      <c r="AK204" s="950" t="s">
        <v>1385</v>
      </c>
      <c r="AL204" s="950" t="s">
        <v>1385</v>
      </c>
      <c r="AM204" s="950">
        <v>100</v>
      </c>
      <c r="AN204" s="953">
        <f t="shared" ref="AN204:AN210" si="18">(AG204*100)/U204</f>
        <v>100</v>
      </c>
    </row>
    <row r="205" spans="1:40" ht="60" x14ac:dyDescent="0.25">
      <c r="A205" s="249">
        <v>39</v>
      </c>
      <c r="B205" s="249" t="s">
        <v>844</v>
      </c>
      <c r="C205" s="249" t="s">
        <v>1386</v>
      </c>
      <c r="D205" s="249">
        <v>2013</v>
      </c>
      <c r="E205" s="249" t="s">
        <v>1387</v>
      </c>
      <c r="F205" s="249" t="s">
        <v>1668</v>
      </c>
      <c r="G205" s="382">
        <v>74007000</v>
      </c>
      <c r="H205" s="249" t="s">
        <v>1388</v>
      </c>
      <c r="I205" s="249">
        <v>1</v>
      </c>
      <c r="J205" s="249" t="s">
        <v>1389</v>
      </c>
      <c r="K205" s="249" t="s">
        <v>1390</v>
      </c>
      <c r="L205" s="249" t="s">
        <v>1391</v>
      </c>
      <c r="M205" s="382">
        <v>32823000</v>
      </c>
      <c r="N205" s="249" t="s">
        <v>1392</v>
      </c>
      <c r="O205" s="251">
        <v>41554</v>
      </c>
      <c r="P205" s="251">
        <v>41558</v>
      </c>
      <c r="Q205" s="251">
        <v>41558</v>
      </c>
      <c r="R205" s="249" t="s">
        <v>1393</v>
      </c>
      <c r="S205" s="382">
        <v>32823500</v>
      </c>
      <c r="T205" s="249" t="s">
        <v>1394</v>
      </c>
      <c r="U205" s="382">
        <v>29268000</v>
      </c>
      <c r="V205" s="382"/>
      <c r="W205" s="382">
        <v>29268600</v>
      </c>
      <c r="X205" s="382"/>
      <c r="Y205" s="382"/>
      <c r="Z205" s="382"/>
      <c r="AA205" s="382"/>
      <c r="AB205" s="382"/>
      <c r="AC205" s="382"/>
      <c r="AD205" s="382"/>
      <c r="AE205" s="382"/>
      <c r="AF205" s="382"/>
      <c r="AG205" s="382">
        <f t="shared" ref="AG205:AG208" si="19">SUM(V205:AF205)</f>
        <v>29268600</v>
      </c>
      <c r="AH205" s="249" t="s">
        <v>237</v>
      </c>
      <c r="AI205" s="249" t="s">
        <v>1395</v>
      </c>
      <c r="AJ205" s="249" t="s">
        <v>1384</v>
      </c>
      <c r="AK205" s="249" t="s">
        <v>1396</v>
      </c>
      <c r="AL205" s="249" t="s">
        <v>1396</v>
      </c>
      <c r="AM205" s="249">
        <v>100</v>
      </c>
      <c r="AN205" s="383">
        <f t="shared" si="18"/>
        <v>100.00205002050021</v>
      </c>
    </row>
    <row r="206" spans="1:40" ht="105" x14ac:dyDescent="0.25">
      <c r="A206" s="281">
        <v>40</v>
      </c>
      <c r="B206" s="281" t="s">
        <v>844</v>
      </c>
      <c r="C206" s="281" t="s">
        <v>396</v>
      </c>
      <c r="D206" s="281">
        <v>2013</v>
      </c>
      <c r="E206" s="281" t="s">
        <v>397</v>
      </c>
      <c r="F206" s="281" t="s">
        <v>1669</v>
      </c>
      <c r="G206" s="808">
        <v>845116000</v>
      </c>
      <c r="H206" s="281" t="s">
        <v>1398</v>
      </c>
      <c r="I206" s="281">
        <v>1</v>
      </c>
      <c r="J206" s="281" t="s">
        <v>1397</v>
      </c>
      <c r="K206" s="281" t="s">
        <v>1399</v>
      </c>
      <c r="L206" s="281" t="s">
        <v>1400</v>
      </c>
      <c r="M206" s="808">
        <v>845116000</v>
      </c>
      <c r="N206" s="281" t="s">
        <v>1100</v>
      </c>
      <c r="O206" s="799">
        <v>41607</v>
      </c>
      <c r="P206" s="799">
        <v>41819</v>
      </c>
      <c r="Q206" s="281"/>
      <c r="R206" s="281" t="s">
        <v>1406</v>
      </c>
      <c r="S206" s="808">
        <f>126767400+718348600+416207178</f>
        <v>1261323178</v>
      </c>
      <c r="T206" s="281" t="s">
        <v>1401</v>
      </c>
      <c r="U206" s="808">
        <f>718348600+124862153</f>
        <v>843210753</v>
      </c>
      <c r="V206" s="808"/>
      <c r="W206" s="808">
        <v>124862153</v>
      </c>
      <c r="X206" s="808"/>
      <c r="Y206" s="808"/>
      <c r="Z206" s="808"/>
      <c r="AA206" s="808"/>
      <c r="AB206" s="808"/>
      <c r="AC206" s="808"/>
      <c r="AD206" s="808"/>
      <c r="AE206" s="808"/>
      <c r="AF206" s="808"/>
      <c r="AG206" s="808">
        <f t="shared" si="19"/>
        <v>124862153</v>
      </c>
      <c r="AH206" s="281" t="s">
        <v>1299</v>
      </c>
      <c r="AI206" s="281" t="s">
        <v>1402</v>
      </c>
      <c r="AJ206" s="281" t="s">
        <v>1403</v>
      </c>
      <c r="AK206" s="281" t="s">
        <v>1404</v>
      </c>
      <c r="AL206" s="281" t="s">
        <v>1405</v>
      </c>
      <c r="AM206" s="281">
        <v>50</v>
      </c>
      <c r="AN206" s="800">
        <f t="shared" si="18"/>
        <v>14.807941259733912</v>
      </c>
    </row>
    <row r="207" spans="1:40" ht="60" x14ac:dyDescent="0.25">
      <c r="A207" s="955">
        <v>41</v>
      </c>
      <c r="B207" s="955" t="s">
        <v>844</v>
      </c>
      <c r="C207" s="955" t="s">
        <v>1375</v>
      </c>
      <c r="D207" s="955">
        <v>2013</v>
      </c>
      <c r="E207" s="955" t="s">
        <v>1376</v>
      </c>
      <c r="F207" s="955" t="s">
        <v>1602</v>
      </c>
      <c r="G207" s="956">
        <v>141316000</v>
      </c>
      <c r="H207" s="955" t="s">
        <v>1603</v>
      </c>
      <c r="I207" s="955">
        <v>1</v>
      </c>
      <c r="J207" s="955" t="s">
        <v>1604</v>
      </c>
      <c r="K207" s="955" t="s">
        <v>1605</v>
      </c>
      <c r="L207" s="955" t="s">
        <v>1606</v>
      </c>
      <c r="M207" s="957">
        <v>45000000</v>
      </c>
      <c r="N207" s="955" t="s">
        <v>342</v>
      </c>
      <c r="O207" s="958">
        <v>41444</v>
      </c>
      <c r="P207" s="958">
        <v>41443</v>
      </c>
      <c r="Q207" s="958">
        <v>41443</v>
      </c>
      <c r="R207" s="955" t="s">
        <v>1607</v>
      </c>
      <c r="S207" s="957">
        <v>45000000</v>
      </c>
      <c r="T207" s="955" t="s">
        <v>1608</v>
      </c>
      <c r="U207" s="957">
        <v>45000000</v>
      </c>
      <c r="V207" s="955"/>
      <c r="W207" s="957">
        <v>24072760</v>
      </c>
      <c r="X207" s="955"/>
      <c r="Y207" s="955"/>
      <c r="Z207" s="955"/>
      <c r="AA207" s="955"/>
      <c r="AB207" s="955"/>
      <c r="AC207" s="955"/>
      <c r="AD207" s="955"/>
      <c r="AE207" s="955"/>
      <c r="AF207" s="955"/>
      <c r="AG207" s="956">
        <f t="shared" si="19"/>
        <v>24072760</v>
      </c>
      <c r="AH207" s="955" t="s">
        <v>237</v>
      </c>
      <c r="AI207" s="955" t="s">
        <v>1609</v>
      </c>
      <c r="AJ207" s="955" t="s">
        <v>1610</v>
      </c>
      <c r="AK207" s="955" t="s">
        <v>1611</v>
      </c>
      <c r="AL207" s="955" t="s">
        <v>1612</v>
      </c>
      <c r="AM207" s="955">
        <v>100</v>
      </c>
      <c r="AN207" s="959">
        <f t="shared" si="18"/>
        <v>53.495022222222225</v>
      </c>
    </row>
    <row r="208" spans="1:40" ht="120" x14ac:dyDescent="0.25">
      <c r="A208" s="258">
        <v>42</v>
      </c>
      <c r="B208" s="258" t="s">
        <v>844</v>
      </c>
      <c r="C208" s="960" t="s">
        <v>391</v>
      </c>
      <c r="D208" s="258">
        <v>2013</v>
      </c>
      <c r="E208" s="258" t="s">
        <v>1613</v>
      </c>
      <c r="F208" s="258" t="s">
        <v>1614</v>
      </c>
      <c r="G208" s="961">
        <v>86800000</v>
      </c>
      <c r="H208" s="258" t="s">
        <v>1615</v>
      </c>
      <c r="I208" s="258">
        <v>1</v>
      </c>
      <c r="J208" s="962" t="s">
        <v>1616</v>
      </c>
      <c r="K208" s="258" t="s">
        <v>1617</v>
      </c>
      <c r="L208" s="258" t="s">
        <v>1618</v>
      </c>
      <c r="M208" s="943">
        <v>86800000</v>
      </c>
      <c r="N208" s="258" t="s">
        <v>1619</v>
      </c>
      <c r="O208" s="942">
        <v>41586</v>
      </c>
      <c r="P208" s="942">
        <v>41639</v>
      </c>
      <c r="Q208" s="942">
        <v>41639</v>
      </c>
      <c r="R208" s="258" t="s">
        <v>1620</v>
      </c>
      <c r="S208" s="943">
        <v>86800000</v>
      </c>
      <c r="T208" s="258" t="s">
        <v>1621</v>
      </c>
      <c r="U208" s="961">
        <v>86800000</v>
      </c>
      <c r="V208" s="943"/>
      <c r="W208" s="943">
        <v>86800000</v>
      </c>
      <c r="X208" s="943"/>
      <c r="Y208" s="943"/>
      <c r="Z208" s="943"/>
      <c r="AA208" s="943"/>
      <c r="AB208" s="943"/>
      <c r="AC208" s="943"/>
      <c r="AD208" s="943"/>
      <c r="AE208" s="943"/>
      <c r="AF208" s="943"/>
      <c r="AG208" s="835">
        <f t="shared" si="19"/>
        <v>86800000</v>
      </c>
      <c r="AH208" s="962" t="s">
        <v>1622</v>
      </c>
      <c r="AI208" s="258" t="s">
        <v>1623</v>
      </c>
      <c r="AJ208" s="258" t="s">
        <v>1624</v>
      </c>
      <c r="AK208" s="258" t="s">
        <v>1625</v>
      </c>
      <c r="AL208" s="258" t="s">
        <v>1626</v>
      </c>
      <c r="AM208" s="258">
        <v>100</v>
      </c>
      <c r="AN208" s="832">
        <f t="shared" si="18"/>
        <v>100</v>
      </c>
    </row>
    <row r="209" spans="1:40" ht="60" x14ac:dyDescent="0.25">
      <c r="A209" s="963">
        <v>43</v>
      </c>
      <c r="B209" s="963" t="s">
        <v>844</v>
      </c>
      <c r="C209" s="964" t="s">
        <v>391</v>
      </c>
      <c r="D209" s="963">
        <v>2013</v>
      </c>
      <c r="E209" s="963" t="s">
        <v>1824</v>
      </c>
      <c r="F209" s="963" t="s">
        <v>1627</v>
      </c>
      <c r="G209" s="965">
        <v>18000000</v>
      </c>
      <c r="H209" s="963" t="s">
        <v>1628</v>
      </c>
      <c r="I209" s="963">
        <v>1</v>
      </c>
      <c r="J209" s="966" t="s">
        <v>1629</v>
      </c>
      <c r="K209" s="963" t="s">
        <v>1630</v>
      </c>
      <c r="L209" s="963" t="s">
        <v>1631</v>
      </c>
      <c r="M209" s="967">
        <v>18000000</v>
      </c>
      <c r="N209" s="968" t="s">
        <v>1632</v>
      </c>
      <c r="O209" s="969">
        <v>41359</v>
      </c>
      <c r="P209" s="969">
        <v>41367</v>
      </c>
      <c r="Q209" s="969">
        <v>41367</v>
      </c>
      <c r="R209" s="963" t="s">
        <v>1633</v>
      </c>
      <c r="S209" s="967">
        <v>18000000</v>
      </c>
      <c r="T209" s="963" t="s">
        <v>1634</v>
      </c>
      <c r="U209" s="965">
        <v>18000000</v>
      </c>
      <c r="V209" s="967"/>
      <c r="W209" s="967">
        <v>6052751</v>
      </c>
      <c r="X209" s="967">
        <v>5200000</v>
      </c>
      <c r="Y209" s="967">
        <v>4000000</v>
      </c>
      <c r="Z209" s="967"/>
      <c r="AA209" s="967"/>
      <c r="AB209" s="967"/>
      <c r="AC209" s="967"/>
      <c r="AD209" s="967"/>
      <c r="AE209" s="967"/>
      <c r="AF209" s="967"/>
      <c r="AG209" s="970">
        <f t="shared" ref="AG209:AG214" si="20">SUM(V209:AF209)</f>
        <v>15252751</v>
      </c>
      <c r="AH209" s="963" t="s">
        <v>1635</v>
      </c>
      <c r="AI209" s="963" t="s">
        <v>1636</v>
      </c>
      <c r="AJ209" s="963" t="s">
        <v>1637</v>
      </c>
      <c r="AK209" s="963" t="s">
        <v>1638</v>
      </c>
      <c r="AL209" s="963" t="s">
        <v>1639</v>
      </c>
      <c r="AM209" s="968">
        <v>100</v>
      </c>
      <c r="AN209" s="971">
        <f t="shared" si="18"/>
        <v>84.737505555555558</v>
      </c>
    </row>
    <row r="210" spans="1:40" ht="90" x14ac:dyDescent="0.25">
      <c r="A210" s="400">
        <v>44</v>
      </c>
      <c r="B210" s="400" t="s">
        <v>844</v>
      </c>
      <c r="C210" s="972" t="s">
        <v>1640</v>
      </c>
      <c r="D210" s="400">
        <v>2013</v>
      </c>
      <c r="E210" s="400" t="s">
        <v>1641</v>
      </c>
      <c r="F210" s="400" t="s">
        <v>1642</v>
      </c>
      <c r="G210" s="973">
        <v>2226660345</v>
      </c>
      <c r="H210" s="400" t="s">
        <v>1864</v>
      </c>
      <c r="I210" s="400">
        <v>1</v>
      </c>
      <c r="J210" s="972" t="s">
        <v>1643</v>
      </c>
      <c r="K210" s="400" t="s">
        <v>1605</v>
      </c>
      <c r="L210" s="400" t="s">
        <v>1644</v>
      </c>
      <c r="M210" s="974">
        <v>411684000</v>
      </c>
      <c r="N210" s="502" t="s">
        <v>1645</v>
      </c>
      <c r="O210" s="975"/>
      <c r="P210" s="975"/>
      <c r="Q210" s="975"/>
      <c r="R210" s="400" t="s">
        <v>1646</v>
      </c>
      <c r="S210" s="974">
        <v>99372000</v>
      </c>
      <c r="T210" s="400" t="s">
        <v>1647</v>
      </c>
      <c r="U210" s="973">
        <v>99372000</v>
      </c>
      <c r="V210" s="974"/>
      <c r="W210" s="974"/>
      <c r="X210" s="974"/>
      <c r="Y210" s="974"/>
      <c r="Z210" s="974"/>
      <c r="AA210" s="974"/>
      <c r="AB210" s="974"/>
      <c r="AC210" s="974"/>
      <c r="AD210" s="974"/>
      <c r="AE210" s="974"/>
      <c r="AF210" s="974"/>
      <c r="AG210" s="427">
        <f t="shared" si="20"/>
        <v>0</v>
      </c>
      <c r="AH210" s="400"/>
      <c r="AI210" s="400" t="s">
        <v>1648</v>
      </c>
      <c r="AJ210" s="400" t="s">
        <v>1649</v>
      </c>
      <c r="AK210" s="400" t="s">
        <v>1650</v>
      </c>
      <c r="AL210" s="400"/>
      <c r="AM210" s="502">
        <v>0</v>
      </c>
      <c r="AN210" s="976">
        <f t="shared" si="18"/>
        <v>0</v>
      </c>
    </row>
    <row r="211" spans="1:40" ht="30" x14ac:dyDescent="0.25">
      <c r="A211" s="183">
        <v>45</v>
      </c>
      <c r="B211" s="183" t="s">
        <v>844</v>
      </c>
      <c r="C211" s="183" t="s">
        <v>1375</v>
      </c>
      <c r="D211" s="649">
        <v>2013</v>
      </c>
      <c r="E211" s="183" t="s">
        <v>1376</v>
      </c>
      <c r="F211" s="183" t="s">
        <v>1651</v>
      </c>
      <c r="G211" s="735">
        <v>126102000</v>
      </c>
      <c r="H211" s="183" t="s">
        <v>1652</v>
      </c>
      <c r="I211" s="649"/>
      <c r="J211" s="649"/>
      <c r="K211" s="649"/>
      <c r="L211" s="649"/>
      <c r="M211" s="649"/>
      <c r="N211" s="649"/>
      <c r="O211" s="649"/>
      <c r="P211" s="649"/>
      <c r="Q211" s="649"/>
      <c r="R211" s="649"/>
      <c r="S211" s="649"/>
      <c r="T211" s="649"/>
      <c r="U211" s="649"/>
      <c r="V211" s="649"/>
      <c r="W211" s="649"/>
      <c r="X211" s="649"/>
      <c r="Y211" s="649"/>
      <c r="Z211" s="649"/>
      <c r="AA211" s="649"/>
      <c r="AB211" s="649"/>
      <c r="AC211" s="649"/>
      <c r="AD211" s="649"/>
      <c r="AE211" s="649"/>
      <c r="AF211" s="649"/>
      <c r="AG211" s="355">
        <f t="shared" si="20"/>
        <v>0</v>
      </c>
      <c r="AH211" s="649"/>
      <c r="AI211" s="649"/>
      <c r="AJ211" s="183" t="s">
        <v>1653</v>
      </c>
      <c r="AK211" s="183" t="s">
        <v>1654</v>
      </c>
      <c r="AL211" s="183"/>
      <c r="AM211" s="649">
        <v>0</v>
      </c>
      <c r="AN211" s="357">
        <v>0</v>
      </c>
    </row>
    <row r="212" spans="1:40" ht="75" x14ac:dyDescent="0.25">
      <c r="A212" s="977">
        <v>46</v>
      </c>
      <c r="B212" s="977" t="s">
        <v>844</v>
      </c>
      <c r="C212" s="977" t="s">
        <v>1826</v>
      </c>
      <c r="D212" s="977">
        <v>2013</v>
      </c>
      <c r="E212" s="977" t="s">
        <v>1825</v>
      </c>
      <c r="F212" s="977" t="s">
        <v>1655</v>
      </c>
      <c r="G212" s="978">
        <v>16845000</v>
      </c>
      <c r="H212" s="977" t="s">
        <v>1656</v>
      </c>
      <c r="I212" s="977"/>
      <c r="J212" s="977"/>
      <c r="K212" s="977"/>
      <c r="L212" s="977"/>
      <c r="M212" s="977"/>
      <c r="N212" s="977"/>
      <c r="O212" s="977"/>
      <c r="P212" s="977"/>
      <c r="Q212" s="977"/>
      <c r="R212" s="977"/>
      <c r="S212" s="977"/>
      <c r="T212" s="977"/>
      <c r="U212" s="977"/>
      <c r="V212" s="977"/>
      <c r="W212" s="977"/>
      <c r="X212" s="977"/>
      <c r="Y212" s="977"/>
      <c r="Z212" s="977"/>
      <c r="AA212" s="977"/>
      <c r="AB212" s="977"/>
      <c r="AC212" s="977"/>
      <c r="AD212" s="977"/>
      <c r="AE212" s="977"/>
      <c r="AF212" s="977"/>
      <c r="AG212" s="979">
        <f t="shared" si="20"/>
        <v>0</v>
      </c>
      <c r="AH212" s="977"/>
      <c r="AI212" s="977"/>
      <c r="AJ212" s="977" t="s">
        <v>1653</v>
      </c>
      <c r="AK212" s="977" t="s">
        <v>1714</v>
      </c>
      <c r="AL212" s="977"/>
      <c r="AM212" s="977">
        <v>0</v>
      </c>
      <c r="AN212" s="980">
        <v>0</v>
      </c>
    </row>
    <row r="213" spans="1:40" ht="60" x14ac:dyDescent="0.25">
      <c r="A213" s="950">
        <v>47</v>
      </c>
      <c r="B213" s="950" t="s">
        <v>844</v>
      </c>
      <c r="C213" s="950"/>
      <c r="D213" s="950">
        <v>2013</v>
      </c>
      <c r="E213" s="950"/>
      <c r="F213" s="950" t="s">
        <v>1657</v>
      </c>
      <c r="G213" s="981">
        <v>288087000</v>
      </c>
      <c r="H213" s="950" t="s">
        <v>1658</v>
      </c>
      <c r="I213" s="950"/>
      <c r="J213" s="950"/>
      <c r="K213" s="950"/>
      <c r="L213" s="950"/>
      <c r="M213" s="950"/>
      <c r="N213" s="950"/>
      <c r="O213" s="950"/>
      <c r="P213" s="950"/>
      <c r="Q213" s="950"/>
      <c r="R213" s="950"/>
      <c r="S213" s="950"/>
      <c r="T213" s="950"/>
      <c r="U213" s="950"/>
      <c r="V213" s="950"/>
      <c r="W213" s="950"/>
      <c r="X213" s="950" t="s">
        <v>776</v>
      </c>
      <c r="Y213" s="950"/>
      <c r="Z213" s="950"/>
      <c r="AA213" s="950"/>
      <c r="AB213" s="950"/>
      <c r="AC213" s="950"/>
      <c r="AD213" s="950"/>
      <c r="AE213" s="950"/>
      <c r="AF213" s="950"/>
      <c r="AG213" s="951">
        <f t="shared" si="20"/>
        <v>0</v>
      </c>
      <c r="AH213" s="950"/>
      <c r="AI213" s="950"/>
      <c r="AJ213" s="950" t="s">
        <v>1659</v>
      </c>
      <c r="AK213" s="950" t="s">
        <v>1657</v>
      </c>
      <c r="AL213" s="950"/>
      <c r="AM213" s="950">
        <v>0</v>
      </c>
      <c r="AN213" s="953">
        <v>0</v>
      </c>
    </row>
    <row r="214" spans="1:40" ht="105" x14ac:dyDescent="0.25">
      <c r="A214" s="591">
        <v>48</v>
      </c>
      <c r="B214" s="590" t="s">
        <v>844</v>
      </c>
      <c r="C214" s="590"/>
      <c r="D214" s="590">
        <v>2013</v>
      </c>
      <c r="E214" s="590"/>
      <c r="F214" s="591" t="s">
        <v>1660</v>
      </c>
      <c r="G214" s="43">
        <v>801656000</v>
      </c>
      <c r="H214" s="591" t="s">
        <v>1661</v>
      </c>
      <c r="I214" s="590">
        <v>1</v>
      </c>
      <c r="J214" s="591" t="s">
        <v>1662</v>
      </c>
      <c r="K214" s="591" t="s">
        <v>1663</v>
      </c>
      <c r="L214" s="591" t="s">
        <v>1660</v>
      </c>
      <c r="M214" s="592">
        <v>1080628120</v>
      </c>
      <c r="N214" s="590" t="s">
        <v>350</v>
      </c>
      <c r="O214" s="590"/>
      <c r="P214" s="33"/>
      <c r="Q214" s="33"/>
      <c r="R214" s="591" t="s">
        <v>1664</v>
      </c>
      <c r="S214" s="592">
        <v>1081144004</v>
      </c>
      <c r="T214" s="590" t="s">
        <v>1670</v>
      </c>
      <c r="U214" s="32"/>
      <c r="V214" s="43"/>
      <c r="W214" s="43"/>
      <c r="X214" s="43"/>
      <c r="Y214" s="43"/>
      <c r="Z214" s="43"/>
      <c r="AA214" s="43"/>
      <c r="AB214" s="43"/>
      <c r="AC214" s="43"/>
      <c r="AD214" s="43"/>
      <c r="AE214" s="43"/>
      <c r="AF214" s="43"/>
      <c r="AG214" s="34">
        <f t="shared" si="20"/>
        <v>0</v>
      </c>
      <c r="AH214" s="590"/>
      <c r="AI214" s="591" t="s">
        <v>1665</v>
      </c>
      <c r="AJ214" s="591" t="s">
        <v>1666</v>
      </c>
      <c r="AK214" s="591" t="s">
        <v>1715</v>
      </c>
      <c r="AL214" s="590"/>
      <c r="AM214" s="590">
        <v>0</v>
      </c>
      <c r="AN214" s="30">
        <v>0</v>
      </c>
    </row>
    <row r="215" spans="1:40" ht="75" x14ac:dyDescent="0.25">
      <c r="A215" s="1220">
        <v>49</v>
      </c>
      <c r="B215" s="1220" t="s">
        <v>390</v>
      </c>
      <c r="C215" s="1223" t="s">
        <v>1555</v>
      </c>
      <c r="D215" s="1220">
        <v>2013</v>
      </c>
      <c r="E215" s="1223" t="s">
        <v>1408</v>
      </c>
      <c r="F215" s="1223" t="s">
        <v>1409</v>
      </c>
      <c r="G215" s="1226">
        <v>69400000</v>
      </c>
      <c r="H215" s="1223" t="s">
        <v>1407</v>
      </c>
      <c r="I215" s="982">
        <v>1</v>
      </c>
      <c r="J215" s="983" t="s">
        <v>1410</v>
      </c>
      <c r="K215" s="983" t="s">
        <v>1413</v>
      </c>
      <c r="L215" s="983" t="s">
        <v>1417</v>
      </c>
      <c r="M215" s="984">
        <v>15000000</v>
      </c>
      <c r="N215" s="982" t="s">
        <v>457</v>
      </c>
      <c r="O215" s="985">
        <v>41430</v>
      </c>
      <c r="P215" s="985">
        <v>41583</v>
      </c>
      <c r="Q215" s="985">
        <v>41583</v>
      </c>
      <c r="R215" s="983" t="s">
        <v>1418</v>
      </c>
      <c r="S215" s="984">
        <v>15000000</v>
      </c>
      <c r="T215" s="983" t="s">
        <v>1419</v>
      </c>
      <c r="U215" s="984">
        <v>15000000</v>
      </c>
      <c r="V215" s="984"/>
      <c r="W215" s="984">
        <v>3000000</v>
      </c>
      <c r="X215" s="984">
        <v>3000000</v>
      </c>
      <c r="Y215" s="984">
        <v>3000000</v>
      </c>
      <c r="Z215" s="984">
        <v>3000000</v>
      </c>
      <c r="AA215" s="984">
        <v>3000000</v>
      </c>
      <c r="AB215" s="984"/>
      <c r="AC215" s="984"/>
      <c r="AD215" s="984"/>
      <c r="AE215" s="984"/>
      <c r="AF215" s="984"/>
      <c r="AG215" s="984">
        <f>SUM(V215:AF215)</f>
        <v>15000000</v>
      </c>
      <c r="AH215" s="982" t="s">
        <v>237</v>
      </c>
      <c r="AI215" s="982"/>
      <c r="AJ215" s="982"/>
      <c r="AK215" s="983" t="s">
        <v>1716</v>
      </c>
      <c r="AL215" s="983" t="s">
        <v>1717</v>
      </c>
      <c r="AM215" s="982">
        <v>100</v>
      </c>
      <c r="AN215" s="986">
        <f>(AG215*100)/U215</f>
        <v>100</v>
      </c>
    </row>
    <row r="216" spans="1:40" ht="75" x14ac:dyDescent="0.25">
      <c r="A216" s="1221"/>
      <c r="B216" s="1221"/>
      <c r="C216" s="1224"/>
      <c r="D216" s="1221"/>
      <c r="E216" s="1224"/>
      <c r="F216" s="1224"/>
      <c r="G216" s="1227"/>
      <c r="H216" s="1224"/>
      <c r="I216" s="982">
        <v>2</v>
      </c>
      <c r="J216" s="983" t="s">
        <v>1411</v>
      </c>
      <c r="K216" s="983" t="s">
        <v>1414</v>
      </c>
      <c r="L216" s="983" t="s">
        <v>1718</v>
      </c>
      <c r="M216" s="984">
        <v>12500000</v>
      </c>
      <c r="N216" s="982" t="s">
        <v>457</v>
      </c>
      <c r="O216" s="985">
        <v>41430</v>
      </c>
      <c r="P216" s="985">
        <v>41583</v>
      </c>
      <c r="Q216" s="985">
        <v>41583</v>
      </c>
      <c r="R216" s="983" t="s">
        <v>1422</v>
      </c>
      <c r="S216" s="984">
        <v>12500000</v>
      </c>
      <c r="T216" s="983" t="s">
        <v>1423</v>
      </c>
      <c r="U216" s="984">
        <v>12500000</v>
      </c>
      <c r="V216" s="984"/>
      <c r="W216" s="984">
        <v>2500000</v>
      </c>
      <c r="X216" s="984">
        <v>2500000</v>
      </c>
      <c r="Y216" s="984">
        <v>2500000</v>
      </c>
      <c r="Z216" s="984">
        <v>2500000</v>
      </c>
      <c r="AA216" s="984">
        <v>2500000</v>
      </c>
      <c r="AB216" s="984"/>
      <c r="AC216" s="984"/>
      <c r="AD216" s="984"/>
      <c r="AE216" s="984"/>
      <c r="AF216" s="984"/>
      <c r="AG216" s="984">
        <f t="shared" ref="AG216:AG251" si="21">SUM(V216:AF216)</f>
        <v>12500000</v>
      </c>
      <c r="AH216" s="982" t="s">
        <v>237</v>
      </c>
      <c r="AI216" s="982"/>
      <c r="AJ216" s="982"/>
      <c r="AK216" s="983" t="s">
        <v>1719</v>
      </c>
      <c r="AL216" s="983" t="s">
        <v>1720</v>
      </c>
      <c r="AM216" s="982">
        <v>100</v>
      </c>
      <c r="AN216" s="986">
        <f t="shared" ref="AN216:AN248" si="22">(AG216*100)/U216</f>
        <v>100</v>
      </c>
    </row>
    <row r="217" spans="1:40" ht="75" x14ac:dyDescent="0.25">
      <c r="A217" s="1221"/>
      <c r="B217" s="1221"/>
      <c r="C217" s="1224"/>
      <c r="D217" s="1221"/>
      <c r="E217" s="1224"/>
      <c r="F217" s="1224"/>
      <c r="G217" s="1227"/>
      <c r="H217" s="1224"/>
      <c r="I217" s="982">
        <v>3</v>
      </c>
      <c r="J217" s="983" t="s">
        <v>1412</v>
      </c>
      <c r="K217" s="983" t="s">
        <v>1415</v>
      </c>
      <c r="L217" s="983" t="s">
        <v>1724</v>
      </c>
      <c r="M217" s="984">
        <v>12500000</v>
      </c>
      <c r="N217" s="982" t="s">
        <v>457</v>
      </c>
      <c r="O217" s="985">
        <v>41438</v>
      </c>
      <c r="P217" s="985">
        <v>41592</v>
      </c>
      <c r="Q217" s="985">
        <v>41592</v>
      </c>
      <c r="R217" s="983" t="s">
        <v>1424</v>
      </c>
      <c r="S217" s="984">
        <v>12500000</v>
      </c>
      <c r="T217" s="983" t="s">
        <v>1425</v>
      </c>
      <c r="U217" s="984">
        <v>12500000</v>
      </c>
      <c r="V217" s="984"/>
      <c r="W217" s="984">
        <v>2500000</v>
      </c>
      <c r="X217" s="984">
        <v>2500000</v>
      </c>
      <c r="Y217" s="984">
        <v>2500000</v>
      </c>
      <c r="Z217" s="984">
        <v>2500000</v>
      </c>
      <c r="AA217" s="984">
        <v>2500000</v>
      </c>
      <c r="AB217" s="984"/>
      <c r="AC217" s="984"/>
      <c r="AD217" s="984"/>
      <c r="AE217" s="984"/>
      <c r="AF217" s="984"/>
      <c r="AG217" s="984">
        <f t="shared" si="21"/>
        <v>12500000</v>
      </c>
      <c r="AH217" s="982" t="s">
        <v>237</v>
      </c>
      <c r="AI217" s="982"/>
      <c r="AJ217" s="982"/>
      <c r="AK217" s="983" t="s">
        <v>1721</v>
      </c>
      <c r="AL217" s="983" t="s">
        <v>1722</v>
      </c>
      <c r="AM217" s="982">
        <v>100</v>
      </c>
      <c r="AN217" s="986">
        <f t="shared" si="22"/>
        <v>100</v>
      </c>
    </row>
    <row r="218" spans="1:40" ht="90" x14ac:dyDescent="0.25">
      <c r="A218" s="1222"/>
      <c r="B218" s="1222"/>
      <c r="C218" s="1225"/>
      <c r="D218" s="1222"/>
      <c r="E218" s="1225"/>
      <c r="F218" s="1225"/>
      <c r="G218" s="1228"/>
      <c r="H218" s="1225"/>
      <c r="I218" s="982">
        <v>4</v>
      </c>
      <c r="J218" s="983" t="s">
        <v>1430</v>
      </c>
      <c r="K218" s="983" t="s">
        <v>1416</v>
      </c>
      <c r="L218" s="983" t="s">
        <v>1420</v>
      </c>
      <c r="M218" s="984">
        <v>29400000</v>
      </c>
      <c r="N218" s="982" t="s">
        <v>1421</v>
      </c>
      <c r="O218" s="985">
        <v>41456</v>
      </c>
      <c r="P218" s="985">
        <v>41475</v>
      </c>
      <c r="Q218" s="985">
        <v>41475</v>
      </c>
      <c r="R218" s="983" t="s">
        <v>1426</v>
      </c>
      <c r="S218" s="984">
        <v>29400000</v>
      </c>
      <c r="T218" s="983" t="s">
        <v>1427</v>
      </c>
      <c r="U218" s="984">
        <v>29400000</v>
      </c>
      <c r="V218" s="984"/>
      <c r="W218" s="984">
        <v>14700000</v>
      </c>
      <c r="X218" s="984">
        <v>14700000</v>
      </c>
      <c r="Y218" s="984"/>
      <c r="Z218" s="984"/>
      <c r="AA218" s="984"/>
      <c r="AB218" s="984"/>
      <c r="AC218" s="984"/>
      <c r="AD218" s="984"/>
      <c r="AE218" s="984"/>
      <c r="AF218" s="984"/>
      <c r="AG218" s="984">
        <f t="shared" si="21"/>
        <v>29400000</v>
      </c>
      <c r="AH218" s="982" t="s">
        <v>237</v>
      </c>
      <c r="AI218" s="982"/>
      <c r="AJ218" s="982"/>
      <c r="AK218" s="983" t="s">
        <v>1420</v>
      </c>
      <c r="AL218" s="983" t="s">
        <v>1723</v>
      </c>
      <c r="AM218" s="982">
        <v>100</v>
      </c>
      <c r="AN218" s="986">
        <f t="shared" si="22"/>
        <v>100</v>
      </c>
    </row>
    <row r="219" spans="1:40" x14ac:dyDescent="0.25">
      <c r="A219" s="982"/>
      <c r="B219" s="982"/>
      <c r="C219" s="982"/>
      <c r="D219" s="987"/>
      <c r="E219" s="987"/>
      <c r="F219" s="987"/>
      <c r="G219" s="987"/>
      <c r="H219" s="987"/>
      <c r="I219" s="987"/>
      <c r="J219" s="982"/>
      <c r="K219" s="982"/>
      <c r="L219" s="983"/>
      <c r="M219" s="984">
        <f>SUM(M215:M218)</f>
        <v>69400000</v>
      </c>
      <c r="N219" s="982"/>
      <c r="O219" s="982"/>
      <c r="P219" s="982"/>
      <c r="Q219" s="982"/>
      <c r="R219" s="982"/>
      <c r="S219" s="984"/>
      <c r="T219" s="982"/>
      <c r="U219" s="984">
        <f>SUM(U215:U218)</f>
        <v>69400000</v>
      </c>
      <c r="V219" s="984"/>
      <c r="W219" s="984"/>
      <c r="X219" s="984"/>
      <c r="Y219" s="984"/>
      <c r="Z219" s="984"/>
      <c r="AA219" s="984"/>
      <c r="AB219" s="984"/>
      <c r="AC219" s="984"/>
      <c r="AD219" s="984"/>
      <c r="AE219" s="984"/>
      <c r="AF219" s="984"/>
      <c r="AG219" s="984">
        <f>SUM(AG215:AG218)</f>
        <v>69400000</v>
      </c>
      <c r="AH219" s="982"/>
      <c r="AI219" s="982"/>
      <c r="AJ219" s="982"/>
      <c r="AK219" s="983"/>
      <c r="AL219" s="982"/>
      <c r="AM219" s="982">
        <f>SUM(AM215:AM218)/4</f>
        <v>100</v>
      </c>
      <c r="AN219" s="982">
        <f>SUM(AN215:AN218)/4</f>
        <v>100</v>
      </c>
    </row>
    <row r="220" spans="1:40" ht="135" x14ac:dyDescent="0.25">
      <c r="A220" s="1105">
        <v>50</v>
      </c>
      <c r="B220" s="1105" t="s">
        <v>390</v>
      </c>
      <c r="C220" s="1108" t="s">
        <v>1555</v>
      </c>
      <c r="D220" s="1105">
        <v>2013</v>
      </c>
      <c r="E220" s="1108" t="s">
        <v>1428</v>
      </c>
      <c r="F220" s="1108" t="s">
        <v>1429</v>
      </c>
      <c r="G220" s="1230" t="s">
        <v>1480</v>
      </c>
      <c r="H220" s="1108" t="s">
        <v>1865</v>
      </c>
      <c r="I220" s="378">
        <v>1</v>
      </c>
      <c r="J220" s="377" t="s">
        <v>1431</v>
      </c>
      <c r="K220" s="377" t="s">
        <v>1442</v>
      </c>
      <c r="L220" s="377" t="s">
        <v>1730</v>
      </c>
      <c r="M220" s="988">
        <v>1200000</v>
      </c>
      <c r="N220" s="378" t="s">
        <v>329</v>
      </c>
      <c r="O220" s="989">
        <v>41529</v>
      </c>
      <c r="P220" s="989">
        <v>41590</v>
      </c>
      <c r="Q220" s="989">
        <v>41590</v>
      </c>
      <c r="R220" s="377" t="s">
        <v>1456</v>
      </c>
      <c r="S220" s="988">
        <v>1200000</v>
      </c>
      <c r="T220" s="377" t="s">
        <v>1457</v>
      </c>
      <c r="U220" s="988">
        <v>1200000</v>
      </c>
      <c r="V220" s="988"/>
      <c r="W220" s="988">
        <v>1200000</v>
      </c>
      <c r="X220" s="988"/>
      <c r="Y220" s="988"/>
      <c r="Z220" s="988"/>
      <c r="AA220" s="988"/>
      <c r="AB220" s="988"/>
      <c r="AC220" s="988"/>
      <c r="AD220" s="988"/>
      <c r="AE220" s="988"/>
      <c r="AF220" s="988"/>
      <c r="AG220" s="988">
        <f t="shared" si="21"/>
        <v>1200000</v>
      </c>
      <c r="AH220" s="378" t="s">
        <v>237</v>
      </c>
      <c r="AI220" s="378"/>
      <c r="AJ220" s="378"/>
      <c r="AK220" s="377" t="s">
        <v>1511</v>
      </c>
      <c r="AL220" s="378"/>
      <c r="AM220" s="378">
        <v>100</v>
      </c>
      <c r="AN220" s="793">
        <f t="shared" si="22"/>
        <v>100</v>
      </c>
    </row>
    <row r="221" spans="1:40" ht="120" x14ac:dyDescent="0.25">
      <c r="A221" s="1106"/>
      <c r="B221" s="1106"/>
      <c r="C221" s="1229"/>
      <c r="D221" s="1106"/>
      <c r="E221" s="1229"/>
      <c r="F221" s="1229"/>
      <c r="G221" s="1231"/>
      <c r="H221" s="1229"/>
      <c r="I221" s="378">
        <v>2</v>
      </c>
      <c r="J221" s="377" t="s">
        <v>1432</v>
      </c>
      <c r="K221" s="377" t="s">
        <v>1444</v>
      </c>
      <c r="L221" s="377" t="s">
        <v>1730</v>
      </c>
      <c r="M221" s="988">
        <v>1200000</v>
      </c>
      <c r="N221" s="378" t="s">
        <v>329</v>
      </c>
      <c r="O221" s="989">
        <v>41529</v>
      </c>
      <c r="P221" s="989">
        <v>41590</v>
      </c>
      <c r="Q221" s="989">
        <v>41590</v>
      </c>
      <c r="R221" s="377" t="s">
        <v>1458</v>
      </c>
      <c r="S221" s="988">
        <v>1200000</v>
      </c>
      <c r="T221" s="377" t="s">
        <v>1459</v>
      </c>
      <c r="U221" s="988">
        <v>1200000</v>
      </c>
      <c r="V221" s="988"/>
      <c r="W221" s="988">
        <v>600000</v>
      </c>
      <c r="X221" s="988">
        <v>600000</v>
      </c>
      <c r="Y221" s="988"/>
      <c r="Z221" s="988"/>
      <c r="AA221" s="988"/>
      <c r="AB221" s="988"/>
      <c r="AC221" s="988"/>
      <c r="AD221" s="988"/>
      <c r="AE221" s="988"/>
      <c r="AF221" s="988"/>
      <c r="AG221" s="988">
        <f t="shared" si="21"/>
        <v>1200000</v>
      </c>
      <c r="AH221" s="378" t="s">
        <v>237</v>
      </c>
      <c r="AI221" s="378"/>
      <c r="AJ221" s="378"/>
      <c r="AK221" s="377" t="s">
        <v>1728</v>
      </c>
      <c r="AL221" s="377" t="s">
        <v>1725</v>
      </c>
      <c r="AM221" s="378">
        <v>100</v>
      </c>
      <c r="AN221" s="793">
        <f t="shared" si="22"/>
        <v>100</v>
      </c>
    </row>
    <row r="222" spans="1:40" ht="120" x14ac:dyDescent="0.25">
      <c r="A222" s="1106"/>
      <c r="B222" s="1106"/>
      <c r="C222" s="1229"/>
      <c r="D222" s="1106"/>
      <c r="E222" s="1229"/>
      <c r="F222" s="1229"/>
      <c r="G222" s="1231"/>
      <c r="H222" s="1229"/>
      <c r="I222" s="378">
        <v>3</v>
      </c>
      <c r="J222" s="377" t="s">
        <v>1433</v>
      </c>
      <c r="K222" s="377" t="s">
        <v>1445</v>
      </c>
      <c r="L222" s="377" t="s">
        <v>1730</v>
      </c>
      <c r="M222" s="988">
        <v>1200000</v>
      </c>
      <c r="N222" s="378" t="s">
        <v>329</v>
      </c>
      <c r="O222" s="989">
        <v>41529</v>
      </c>
      <c r="P222" s="989">
        <v>41590</v>
      </c>
      <c r="Q222" s="989">
        <v>41590</v>
      </c>
      <c r="R222" s="377" t="s">
        <v>1460</v>
      </c>
      <c r="S222" s="988">
        <v>1200000</v>
      </c>
      <c r="T222" s="377" t="s">
        <v>1461</v>
      </c>
      <c r="U222" s="988">
        <v>1200000</v>
      </c>
      <c r="V222" s="988"/>
      <c r="W222" s="988">
        <v>600000</v>
      </c>
      <c r="X222" s="988">
        <v>600000</v>
      </c>
      <c r="Y222" s="988"/>
      <c r="Z222" s="988"/>
      <c r="AA222" s="988"/>
      <c r="AB222" s="988"/>
      <c r="AC222" s="988"/>
      <c r="AD222" s="988"/>
      <c r="AE222" s="988"/>
      <c r="AF222" s="988"/>
      <c r="AG222" s="988">
        <f t="shared" si="21"/>
        <v>1200000</v>
      </c>
      <c r="AH222" s="378" t="s">
        <v>237</v>
      </c>
      <c r="AI222" s="378"/>
      <c r="AJ222" s="378"/>
      <c r="AK222" s="377" t="s">
        <v>1729</v>
      </c>
      <c r="AL222" s="378"/>
      <c r="AM222" s="378">
        <v>100</v>
      </c>
      <c r="AN222" s="793">
        <f t="shared" si="22"/>
        <v>100</v>
      </c>
    </row>
    <row r="223" spans="1:40" ht="135" x14ac:dyDescent="0.25">
      <c r="A223" s="1106"/>
      <c r="B223" s="1106"/>
      <c r="C223" s="1229"/>
      <c r="D223" s="1106"/>
      <c r="E223" s="1229"/>
      <c r="F223" s="1229"/>
      <c r="G223" s="1231"/>
      <c r="H223" s="1229"/>
      <c r="I223" s="378">
        <v>4</v>
      </c>
      <c r="J223" s="377" t="s">
        <v>1434</v>
      </c>
      <c r="K223" s="377" t="s">
        <v>1446</v>
      </c>
      <c r="L223" s="377" t="s">
        <v>1731</v>
      </c>
      <c r="M223" s="988">
        <v>2000000</v>
      </c>
      <c r="N223" s="378" t="s">
        <v>329</v>
      </c>
      <c r="O223" s="989">
        <v>41529</v>
      </c>
      <c r="P223" s="989">
        <v>41590</v>
      </c>
      <c r="Q223" s="989">
        <v>41590</v>
      </c>
      <c r="R223" s="377" t="s">
        <v>1462</v>
      </c>
      <c r="S223" s="988">
        <v>2000000</v>
      </c>
      <c r="T223" s="377" t="s">
        <v>1463</v>
      </c>
      <c r="U223" s="988">
        <v>2000000</v>
      </c>
      <c r="V223" s="988"/>
      <c r="W223" s="988">
        <v>1000000</v>
      </c>
      <c r="X223" s="988">
        <v>1000000</v>
      </c>
      <c r="Y223" s="988"/>
      <c r="Z223" s="988"/>
      <c r="AA223" s="988"/>
      <c r="AB223" s="988"/>
      <c r="AC223" s="988"/>
      <c r="AD223" s="988"/>
      <c r="AE223" s="988"/>
      <c r="AF223" s="988"/>
      <c r="AG223" s="988">
        <f t="shared" si="21"/>
        <v>2000000</v>
      </c>
      <c r="AH223" s="378" t="s">
        <v>237</v>
      </c>
      <c r="AI223" s="378"/>
      <c r="AJ223" s="378"/>
      <c r="AK223" s="377" t="s">
        <v>1443</v>
      </c>
      <c r="AL223" s="378"/>
      <c r="AM223" s="378">
        <v>100</v>
      </c>
      <c r="AN223" s="793">
        <f t="shared" si="22"/>
        <v>100</v>
      </c>
    </row>
    <row r="224" spans="1:40" ht="120" x14ac:dyDescent="0.25">
      <c r="A224" s="1106"/>
      <c r="B224" s="1106"/>
      <c r="C224" s="1229"/>
      <c r="D224" s="1106"/>
      <c r="E224" s="1229"/>
      <c r="F224" s="1229"/>
      <c r="G224" s="1231"/>
      <c r="H224" s="1229"/>
      <c r="I224" s="378">
        <v>5</v>
      </c>
      <c r="J224" s="377" t="s">
        <v>1435</v>
      </c>
      <c r="K224" s="377" t="s">
        <v>1447</v>
      </c>
      <c r="L224" s="377" t="s">
        <v>1730</v>
      </c>
      <c r="M224" s="988">
        <v>1200000</v>
      </c>
      <c r="N224" s="378" t="s">
        <v>329</v>
      </c>
      <c r="O224" s="989">
        <v>41529</v>
      </c>
      <c r="P224" s="989">
        <v>41590</v>
      </c>
      <c r="Q224" s="989">
        <v>41590</v>
      </c>
      <c r="R224" s="377" t="s">
        <v>1464</v>
      </c>
      <c r="S224" s="988">
        <v>1200000</v>
      </c>
      <c r="T224" s="377" t="s">
        <v>1465</v>
      </c>
      <c r="U224" s="988">
        <v>1200000</v>
      </c>
      <c r="V224" s="988"/>
      <c r="W224" s="988">
        <v>600000</v>
      </c>
      <c r="X224" s="988">
        <v>600000</v>
      </c>
      <c r="Y224" s="988"/>
      <c r="Z224" s="988"/>
      <c r="AA224" s="988"/>
      <c r="AB224" s="988"/>
      <c r="AC224" s="988"/>
      <c r="AD224" s="988"/>
      <c r="AE224" s="988"/>
      <c r="AF224" s="988"/>
      <c r="AG224" s="988">
        <f t="shared" si="21"/>
        <v>1200000</v>
      </c>
      <c r="AH224" s="378" t="s">
        <v>237</v>
      </c>
      <c r="AI224" s="378"/>
      <c r="AJ224" s="378"/>
      <c r="AK224" s="377" t="s">
        <v>1726</v>
      </c>
      <c r="AL224" s="377" t="s">
        <v>1727</v>
      </c>
      <c r="AM224" s="378">
        <v>100</v>
      </c>
      <c r="AN224" s="793">
        <f t="shared" si="22"/>
        <v>100</v>
      </c>
    </row>
    <row r="225" spans="1:40" ht="135" x14ac:dyDescent="0.25">
      <c r="A225" s="1106"/>
      <c r="B225" s="1106"/>
      <c r="C225" s="1229"/>
      <c r="D225" s="1106"/>
      <c r="E225" s="1229"/>
      <c r="F225" s="1229"/>
      <c r="G225" s="1231"/>
      <c r="H225" s="1229"/>
      <c r="I225" s="378">
        <v>6</v>
      </c>
      <c r="J225" s="377" t="s">
        <v>1436</v>
      </c>
      <c r="K225" s="377" t="s">
        <v>1448</v>
      </c>
      <c r="L225" s="377" t="s">
        <v>1730</v>
      </c>
      <c r="M225" s="988">
        <v>1200000</v>
      </c>
      <c r="N225" s="378" t="s">
        <v>329</v>
      </c>
      <c r="O225" s="989">
        <v>41529</v>
      </c>
      <c r="P225" s="989">
        <v>41590</v>
      </c>
      <c r="Q225" s="989">
        <v>41590</v>
      </c>
      <c r="R225" s="377" t="s">
        <v>1466</v>
      </c>
      <c r="S225" s="988">
        <v>1200000</v>
      </c>
      <c r="T225" s="377" t="s">
        <v>1467</v>
      </c>
      <c r="U225" s="988">
        <v>1200000</v>
      </c>
      <c r="V225" s="988"/>
      <c r="W225" s="988">
        <v>1200000</v>
      </c>
      <c r="X225" s="988"/>
      <c r="Y225" s="988"/>
      <c r="Z225" s="988"/>
      <c r="AA225" s="988"/>
      <c r="AB225" s="988"/>
      <c r="AC225" s="988"/>
      <c r="AD225" s="988"/>
      <c r="AE225" s="988"/>
      <c r="AF225" s="988"/>
      <c r="AG225" s="988">
        <f t="shared" si="21"/>
        <v>1200000</v>
      </c>
      <c r="AH225" s="378" t="s">
        <v>237</v>
      </c>
      <c r="AI225" s="378"/>
      <c r="AJ225" s="378"/>
      <c r="AK225" s="377" t="s">
        <v>1511</v>
      </c>
      <c r="AL225" s="378"/>
      <c r="AM225" s="378">
        <v>100</v>
      </c>
      <c r="AN225" s="793">
        <f t="shared" si="22"/>
        <v>100</v>
      </c>
    </row>
    <row r="226" spans="1:40" ht="135" x14ac:dyDescent="0.25">
      <c r="A226" s="1106"/>
      <c r="B226" s="1106"/>
      <c r="C226" s="1229"/>
      <c r="D226" s="1106"/>
      <c r="E226" s="1229"/>
      <c r="F226" s="1229"/>
      <c r="G226" s="1231"/>
      <c r="H226" s="1229"/>
      <c r="I226" s="378">
        <v>7</v>
      </c>
      <c r="J226" s="377" t="s">
        <v>1437</v>
      </c>
      <c r="K226" s="377" t="s">
        <v>1449</v>
      </c>
      <c r="L226" s="377" t="s">
        <v>1731</v>
      </c>
      <c r="M226" s="988">
        <v>1200000</v>
      </c>
      <c r="N226" s="378" t="s">
        <v>329</v>
      </c>
      <c r="O226" s="989">
        <v>41529</v>
      </c>
      <c r="P226" s="989">
        <v>41590</v>
      </c>
      <c r="Q226" s="989">
        <v>41590</v>
      </c>
      <c r="R226" s="377" t="s">
        <v>1468</v>
      </c>
      <c r="S226" s="988">
        <v>1200000</v>
      </c>
      <c r="T226" s="377" t="s">
        <v>1469</v>
      </c>
      <c r="U226" s="988">
        <v>1200000</v>
      </c>
      <c r="V226" s="988"/>
      <c r="W226" s="988">
        <v>600000</v>
      </c>
      <c r="X226" s="988">
        <v>600000</v>
      </c>
      <c r="Y226" s="988"/>
      <c r="Z226" s="988"/>
      <c r="AA226" s="988"/>
      <c r="AB226" s="988"/>
      <c r="AC226" s="988"/>
      <c r="AD226" s="988"/>
      <c r="AE226" s="988"/>
      <c r="AF226" s="988"/>
      <c r="AG226" s="988">
        <f t="shared" si="21"/>
        <v>1200000</v>
      </c>
      <c r="AH226" s="378" t="s">
        <v>237</v>
      </c>
      <c r="AI226" s="378"/>
      <c r="AJ226" s="378"/>
      <c r="AK226" s="377" t="s">
        <v>1443</v>
      </c>
      <c r="AL226" s="378"/>
      <c r="AM226" s="378">
        <v>100</v>
      </c>
      <c r="AN226" s="793">
        <f t="shared" si="22"/>
        <v>100</v>
      </c>
    </row>
    <row r="227" spans="1:40" ht="120" x14ac:dyDescent="0.25">
      <c r="A227" s="1106"/>
      <c r="B227" s="1106"/>
      <c r="C227" s="1229"/>
      <c r="D227" s="1106"/>
      <c r="E227" s="1229"/>
      <c r="F227" s="1229"/>
      <c r="G227" s="1231"/>
      <c r="H227" s="1229"/>
      <c r="I227" s="378">
        <v>8</v>
      </c>
      <c r="J227" s="377" t="s">
        <v>1438</v>
      </c>
      <c r="K227" s="377" t="s">
        <v>1450</v>
      </c>
      <c r="L227" s="377" t="s">
        <v>1730</v>
      </c>
      <c r="M227" s="988">
        <v>2000000</v>
      </c>
      <c r="N227" s="378" t="s">
        <v>329</v>
      </c>
      <c r="O227" s="989">
        <v>41529</v>
      </c>
      <c r="P227" s="989">
        <v>41590</v>
      </c>
      <c r="Q227" s="989">
        <v>41590</v>
      </c>
      <c r="R227" s="377" t="s">
        <v>1470</v>
      </c>
      <c r="S227" s="988">
        <v>2000000</v>
      </c>
      <c r="T227" s="377" t="s">
        <v>1471</v>
      </c>
      <c r="U227" s="988">
        <v>2000000</v>
      </c>
      <c r="V227" s="988"/>
      <c r="W227" s="988">
        <v>1000000</v>
      </c>
      <c r="X227" s="988">
        <v>1000000</v>
      </c>
      <c r="Y227" s="988"/>
      <c r="Z227" s="988"/>
      <c r="AA227" s="988"/>
      <c r="AB227" s="988"/>
      <c r="AC227" s="988"/>
      <c r="AD227" s="988"/>
      <c r="AE227" s="988"/>
      <c r="AF227" s="988"/>
      <c r="AG227" s="988">
        <f t="shared" si="21"/>
        <v>2000000</v>
      </c>
      <c r="AH227" s="378" t="s">
        <v>237</v>
      </c>
      <c r="AI227" s="378"/>
      <c r="AJ227" s="378"/>
      <c r="AK227" s="377" t="s">
        <v>1726</v>
      </c>
      <c r="AL227" s="378"/>
      <c r="AM227" s="378">
        <v>100</v>
      </c>
      <c r="AN227" s="793">
        <f t="shared" si="22"/>
        <v>100</v>
      </c>
    </row>
    <row r="228" spans="1:40" ht="120" x14ac:dyDescent="0.25">
      <c r="A228" s="1106"/>
      <c r="B228" s="1106"/>
      <c r="C228" s="1229"/>
      <c r="D228" s="1106"/>
      <c r="E228" s="1229"/>
      <c r="F228" s="1229"/>
      <c r="G228" s="1231"/>
      <c r="H228" s="1229"/>
      <c r="I228" s="378">
        <v>9</v>
      </c>
      <c r="J228" s="377" t="s">
        <v>1439</v>
      </c>
      <c r="K228" s="377" t="s">
        <v>1451</v>
      </c>
      <c r="L228" s="377" t="s">
        <v>1511</v>
      </c>
      <c r="M228" s="988">
        <v>1200000</v>
      </c>
      <c r="N228" s="378" t="s">
        <v>329</v>
      </c>
      <c r="O228" s="989">
        <v>41529</v>
      </c>
      <c r="P228" s="989">
        <v>41590</v>
      </c>
      <c r="Q228" s="989">
        <v>41590</v>
      </c>
      <c r="R228" s="377" t="s">
        <v>1472</v>
      </c>
      <c r="S228" s="988">
        <v>1200000</v>
      </c>
      <c r="T228" s="377" t="s">
        <v>1473</v>
      </c>
      <c r="U228" s="988">
        <v>1200000</v>
      </c>
      <c r="V228" s="988"/>
      <c r="W228" s="988">
        <v>1200000</v>
      </c>
      <c r="X228" s="988"/>
      <c r="Y228" s="988"/>
      <c r="Z228" s="988"/>
      <c r="AA228" s="988"/>
      <c r="AB228" s="988"/>
      <c r="AC228" s="988"/>
      <c r="AD228" s="988"/>
      <c r="AE228" s="988"/>
      <c r="AF228" s="988"/>
      <c r="AG228" s="988">
        <f t="shared" si="21"/>
        <v>1200000</v>
      </c>
      <c r="AH228" s="378" t="s">
        <v>237</v>
      </c>
      <c r="AI228" s="378"/>
      <c r="AJ228" s="378"/>
      <c r="AK228" s="377" t="s">
        <v>1729</v>
      </c>
      <c r="AL228" s="378"/>
      <c r="AM228" s="378">
        <v>100</v>
      </c>
      <c r="AN228" s="793">
        <f t="shared" si="22"/>
        <v>100</v>
      </c>
    </row>
    <row r="229" spans="1:40" ht="60" x14ac:dyDescent="0.25">
      <c r="A229" s="1106"/>
      <c r="B229" s="1106"/>
      <c r="C229" s="1229"/>
      <c r="D229" s="1106"/>
      <c r="E229" s="1229"/>
      <c r="F229" s="1229"/>
      <c r="G229" s="1231"/>
      <c r="H229" s="1229"/>
      <c r="I229" s="378">
        <v>10</v>
      </c>
      <c r="J229" s="377" t="s">
        <v>1440</v>
      </c>
      <c r="K229" s="377" t="s">
        <v>1452</v>
      </c>
      <c r="L229" s="377" t="s">
        <v>1454</v>
      </c>
      <c r="M229" s="988">
        <v>14125000</v>
      </c>
      <c r="N229" s="378" t="s">
        <v>1474</v>
      </c>
      <c r="O229" s="989">
        <v>41477</v>
      </c>
      <c r="P229" s="989">
        <v>41483</v>
      </c>
      <c r="Q229" s="989">
        <v>41483</v>
      </c>
      <c r="R229" s="378"/>
      <c r="S229" s="988"/>
      <c r="T229" s="378"/>
      <c r="U229" s="988"/>
      <c r="V229" s="988"/>
      <c r="W229" s="988">
        <v>11300000</v>
      </c>
      <c r="X229" s="988">
        <v>2825000</v>
      </c>
      <c r="Y229" s="988"/>
      <c r="Z229" s="988"/>
      <c r="AA229" s="988"/>
      <c r="AB229" s="988"/>
      <c r="AC229" s="988"/>
      <c r="AD229" s="988"/>
      <c r="AE229" s="988"/>
      <c r="AF229" s="988"/>
      <c r="AG229" s="988">
        <f t="shared" si="21"/>
        <v>14125000</v>
      </c>
      <c r="AH229" s="378" t="s">
        <v>237</v>
      </c>
      <c r="AI229" s="378"/>
      <c r="AJ229" s="378"/>
      <c r="AK229" s="377" t="s">
        <v>1454</v>
      </c>
      <c r="AL229" s="378"/>
      <c r="AM229" s="378">
        <v>100</v>
      </c>
      <c r="AN229" s="793">
        <v>100</v>
      </c>
    </row>
    <row r="230" spans="1:40" ht="45" x14ac:dyDescent="0.25">
      <c r="A230" s="1107"/>
      <c r="B230" s="1107"/>
      <c r="C230" s="1109"/>
      <c r="D230" s="1107"/>
      <c r="E230" s="1109"/>
      <c r="F230" s="1109"/>
      <c r="G230" s="1232"/>
      <c r="H230" s="1109"/>
      <c r="I230" s="378">
        <v>11</v>
      </c>
      <c r="J230" s="377" t="s">
        <v>1441</v>
      </c>
      <c r="K230" s="377" t="s">
        <v>1453</v>
      </c>
      <c r="L230" s="377" t="s">
        <v>1455</v>
      </c>
      <c r="M230" s="988">
        <v>3928000</v>
      </c>
      <c r="N230" s="988"/>
      <c r="O230" s="988"/>
      <c r="P230" s="988"/>
      <c r="Q230" s="988"/>
      <c r="R230" s="988"/>
      <c r="S230" s="988"/>
      <c r="T230" s="988"/>
      <c r="U230" s="988"/>
      <c r="V230" s="988"/>
      <c r="W230" s="988">
        <v>3928000</v>
      </c>
      <c r="X230" s="988"/>
      <c r="Y230" s="988"/>
      <c r="Z230" s="988"/>
      <c r="AA230" s="988"/>
      <c r="AB230" s="988"/>
      <c r="AC230" s="988"/>
      <c r="AD230" s="988"/>
      <c r="AE230" s="988"/>
      <c r="AF230" s="988"/>
      <c r="AG230" s="988">
        <f t="shared" si="21"/>
        <v>3928000</v>
      </c>
      <c r="AH230" s="378" t="s">
        <v>237</v>
      </c>
      <c r="AI230" s="378"/>
      <c r="AJ230" s="378"/>
      <c r="AK230" s="377" t="s">
        <v>1455</v>
      </c>
      <c r="AL230" s="378"/>
      <c r="AM230" s="378">
        <v>100</v>
      </c>
      <c r="AN230" s="793">
        <v>100</v>
      </c>
    </row>
    <row r="231" spans="1:40" x14ac:dyDescent="0.25">
      <c r="A231" s="378"/>
      <c r="B231" s="378"/>
      <c r="C231" s="378"/>
      <c r="D231" s="378"/>
      <c r="E231" s="378"/>
      <c r="F231" s="378"/>
      <c r="G231" s="378"/>
      <c r="H231" s="378"/>
      <c r="I231" s="378"/>
      <c r="J231" s="378"/>
      <c r="K231" s="377"/>
      <c r="L231" s="378"/>
      <c r="M231" s="988">
        <f>SUM(M220:M230)</f>
        <v>30453000</v>
      </c>
      <c r="N231" s="988"/>
      <c r="O231" s="988"/>
      <c r="P231" s="988"/>
      <c r="Q231" s="988"/>
      <c r="R231" s="988"/>
      <c r="S231" s="988"/>
      <c r="T231" s="988"/>
      <c r="U231" s="988">
        <f>SUM(U220:U230)</f>
        <v>12400000</v>
      </c>
      <c r="V231" s="988"/>
      <c r="W231" s="988"/>
      <c r="X231" s="988"/>
      <c r="Y231" s="988"/>
      <c r="Z231" s="988"/>
      <c r="AA231" s="988"/>
      <c r="AB231" s="988"/>
      <c r="AC231" s="988"/>
      <c r="AD231" s="988"/>
      <c r="AE231" s="988"/>
      <c r="AF231" s="988"/>
      <c r="AG231" s="988">
        <f>SUM(AG220:AG230)</f>
        <v>30453000</v>
      </c>
      <c r="AH231" s="378"/>
      <c r="AI231" s="378"/>
      <c r="AJ231" s="378"/>
      <c r="AK231" s="378"/>
      <c r="AL231" s="378"/>
      <c r="AM231" s="378">
        <f>SUM(AM220:AM230)/11</f>
        <v>100</v>
      </c>
      <c r="AN231" s="378">
        <f>SUM(AN220:AN230)/11</f>
        <v>100</v>
      </c>
    </row>
    <row r="232" spans="1:40" ht="75" x14ac:dyDescent="0.25">
      <c r="A232" s="940">
        <v>51</v>
      </c>
      <c r="B232" s="940" t="s">
        <v>390</v>
      </c>
      <c r="C232" s="258" t="s">
        <v>1555</v>
      </c>
      <c r="D232" s="940">
        <v>2013</v>
      </c>
      <c r="E232" s="258" t="s">
        <v>1428</v>
      </c>
      <c r="F232" s="258" t="s">
        <v>1475</v>
      </c>
      <c r="G232" s="991">
        <v>211673000</v>
      </c>
      <c r="H232" s="258" t="s">
        <v>1476</v>
      </c>
      <c r="I232" s="940"/>
      <c r="J232" s="940"/>
      <c r="K232" s="258"/>
      <c r="L232" s="940"/>
      <c r="M232" s="991"/>
      <c r="N232" s="991"/>
      <c r="O232" s="991"/>
      <c r="P232" s="991"/>
      <c r="Q232" s="991"/>
      <c r="R232" s="991"/>
      <c r="S232" s="991"/>
      <c r="T232" s="991"/>
      <c r="U232" s="991"/>
      <c r="V232" s="991"/>
      <c r="W232" s="991"/>
      <c r="X232" s="991"/>
      <c r="Y232" s="991"/>
      <c r="Z232" s="991"/>
      <c r="AA232" s="991"/>
      <c r="AB232" s="991"/>
      <c r="AC232" s="991"/>
      <c r="AD232" s="991"/>
      <c r="AE232" s="991"/>
      <c r="AF232" s="991"/>
      <c r="AG232" s="991">
        <f t="shared" si="21"/>
        <v>0</v>
      </c>
      <c r="AH232" s="940"/>
      <c r="AI232" s="940"/>
      <c r="AJ232" s="258" t="s">
        <v>1477</v>
      </c>
      <c r="AK232" s="258" t="s">
        <v>1428</v>
      </c>
      <c r="AL232" s="940"/>
      <c r="AM232" s="940">
        <v>0</v>
      </c>
      <c r="AN232" s="940">
        <v>0</v>
      </c>
    </row>
    <row r="233" spans="1:40" ht="45" x14ac:dyDescent="0.25">
      <c r="A233" s="1233">
        <v>52</v>
      </c>
      <c r="B233" s="1233" t="s">
        <v>390</v>
      </c>
      <c r="C233" s="1236" t="s">
        <v>1555</v>
      </c>
      <c r="D233" s="1233">
        <v>2013</v>
      </c>
      <c r="E233" s="1233" t="s">
        <v>1478</v>
      </c>
      <c r="F233" s="1236" t="s">
        <v>1479</v>
      </c>
      <c r="G233" s="1239" t="s">
        <v>1481</v>
      </c>
      <c r="H233" s="1236" t="s">
        <v>1482</v>
      </c>
      <c r="I233" s="992">
        <v>1</v>
      </c>
      <c r="J233" s="950" t="s">
        <v>1483</v>
      </c>
      <c r="K233" s="950" t="s">
        <v>1500</v>
      </c>
      <c r="L233" s="992" t="s">
        <v>1508</v>
      </c>
      <c r="M233" s="993">
        <v>2600000</v>
      </c>
      <c r="N233" s="993"/>
      <c r="O233" s="994"/>
      <c r="P233" s="994"/>
      <c r="Q233" s="994"/>
      <c r="R233" s="995" t="s">
        <v>1518</v>
      </c>
      <c r="S233" s="993">
        <v>2600000</v>
      </c>
      <c r="T233" s="993"/>
      <c r="U233" s="993"/>
      <c r="V233" s="993"/>
      <c r="W233" s="993">
        <v>2600000</v>
      </c>
      <c r="X233" s="993"/>
      <c r="Y233" s="993"/>
      <c r="Z233" s="993"/>
      <c r="AA233" s="993"/>
      <c r="AB233" s="993"/>
      <c r="AC233" s="993"/>
      <c r="AD233" s="993"/>
      <c r="AE233" s="993"/>
      <c r="AF233" s="993"/>
      <c r="AG233" s="993">
        <f t="shared" si="21"/>
        <v>2600000</v>
      </c>
      <c r="AH233" s="992" t="s">
        <v>237</v>
      </c>
      <c r="AI233" s="992"/>
      <c r="AJ233" s="992"/>
      <c r="AK233" s="992" t="s">
        <v>1508</v>
      </c>
      <c r="AL233" s="992"/>
      <c r="AM233" s="992">
        <v>100</v>
      </c>
      <c r="AN233" s="996">
        <v>100</v>
      </c>
    </row>
    <row r="234" spans="1:40" ht="105" x14ac:dyDescent="0.25">
      <c r="A234" s="1234"/>
      <c r="B234" s="1234"/>
      <c r="C234" s="1237"/>
      <c r="D234" s="1234"/>
      <c r="E234" s="1234"/>
      <c r="F234" s="1237"/>
      <c r="G234" s="1240"/>
      <c r="H234" s="1237"/>
      <c r="I234" s="992">
        <v>2</v>
      </c>
      <c r="J234" s="950" t="s">
        <v>1484</v>
      </c>
      <c r="K234" s="950" t="s">
        <v>1496</v>
      </c>
      <c r="L234" s="950" t="s">
        <v>1509</v>
      </c>
      <c r="M234" s="993">
        <f>24402550+6011200</f>
        <v>30413750</v>
      </c>
      <c r="N234" s="993" t="s">
        <v>1031</v>
      </c>
      <c r="O234" s="994">
        <v>41523</v>
      </c>
      <c r="P234" s="994">
        <v>41584</v>
      </c>
      <c r="Q234" s="994">
        <v>41584</v>
      </c>
      <c r="R234" s="993"/>
      <c r="S234" s="993"/>
      <c r="T234" s="993"/>
      <c r="U234" s="993"/>
      <c r="V234" s="993"/>
      <c r="W234" s="993">
        <v>17922040</v>
      </c>
      <c r="X234" s="993">
        <v>4808960</v>
      </c>
      <c r="Y234" s="993">
        <v>5682750</v>
      </c>
      <c r="Z234" s="993"/>
      <c r="AA234" s="993"/>
      <c r="AB234" s="993"/>
      <c r="AC234" s="993"/>
      <c r="AD234" s="993"/>
      <c r="AE234" s="993"/>
      <c r="AF234" s="993"/>
      <c r="AG234" s="993">
        <f t="shared" si="21"/>
        <v>28413750</v>
      </c>
      <c r="AH234" s="992" t="s">
        <v>237</v>
      </c>
      <c r="AI234" s="992"/>
      <c r="AJ234" s="992"/>
      <c r="AK234" s="950" t="s">
        <v>1509</v>
      </c>
      <c r="AL234" s="992"/>
      <c r="AM234" s="992">
        <v>100</v>
      </c>
      <c r="AN234" s="996">
        <v>100</v>
      </c>
    </row>
    <row r="235" spans="1:40" ht="75" x14ac:dyDescent="0.25">
      <c r="A235" s="1234"/>
      <c r="B235" s="1234"/>
      <c r="C235" s="1237"/>
      <c r="D235" s="1234"/>
      <c r="E235" s="1234"/>
      <c r="F235" s="1237"/>
      <c r="G235" s="1240"/>
      <c r="H235" s="1237"/>
      <c r="I235" s="992">
        <v>3</v>
      </c>
      <c r="J235" s="950" t="s">
        <v>1485</v>
      </c>
      <c r="K235" s="950" t="s">
        <v>1497</v>
      </c>
      <c r="L235" s="950" t="s">
        <v>1510</v>
      </c>
      <c r="M235" s="993">
        <v>3855000</v>
      </c>
      <c r="N235" s="993" t="s">
        <v>1516</v>
      </c>
      <c r="O235" s="994"/>
      <c r="P235" s="994"/>
      <c r="Q235" s="994"/>
      <c r="R235" s="993"/>
      <c r="S235" s="993"/>
      <c r="T235" s="993"/>
      <c r="U235" s="993"/>
      <c r="V235" s="993"/>
      <c r="W235" s="993">
        <v>3855000</v>
      </c>
      <c r="X235" s="993"/>
      <c r="Y235" s="993"/>
      <c r="Z235" s="993"/>
      <c r="AA235" s="993"/>
      <c r="AB235" s="993"/>
      <c r="AC235" s="993"/>
      <c r="AD235" s="993"/>
      <c r="AE235" s="993"/>
      <c r="AF235" s="993"/>
      <c r="AG235" s="993">
        <f t="shared" si="21"/>
        <v>3855000</v>
      </c>
      <c r="AH235" s="992" t="s">
        <v>237</v>
      </c>
      <c r="AI235" s="992"/>
      <c r="AJ235" s="992"/>
      <c r="AK235" s="950" t="s">
        <v>1510</v>
      </c>
      <c r="AL235" s="992"/>
      <c r="AM235" s="992">
        <v>100</v>
      </c>
      <c r="AN235" s="996">
        <v>100</v>
      </c>
    </row>
    <row r="236" spans="1:40" ht="105" x14ac:dyDescent="0.25">
      <c r="A236" s="1234"/>
      <c r="B236" s="1234"/>
      <c r="C236" s="1237"/>
      <c r="D236" s="1234"/>
      <c r="E236" s="1234"/>
      <c r="F236" s="1237"/>
      <c r="G236" s="1240"/>
      <c r="H236" s="1237"/>
      <c r="I236" s="992">
        <v>4</v>
      </c>
      <c r="J236" s="950" t="s">
        <v>1486</v>
      </c>
      <c r="K236" s="950" t="s">
        <v>1498</v>
      </c>
      <c r="L236" s="950" t="s">
        <v>1512</v>
      </c>
      <c r="M236" s="993">
        <v>4000000</v>
      </c>
      <c r="N236" s="993" t="s">
        <v>329</v>
      </c>
      <c r="O236" s="994">
        <v>41530</v>
      </c>
      <c r="P236" s="994">
        <v>41591</v>
      </c>
      <c r="Q236" s="994">
        <v>41591</v>
      </c>
      <c r="R236" s="995" t="s">
        <v>1519</v>
      </c>
      <c r="S236" s="993">
        <v>4000000</v>
      </c>
      <c r="T236" s="995" t="s">
        <v>1520</v>
      </c>
      <c r="U236" s="993">
        <v>4000000</v>
      </c>
      <c r="V236" s="993"/>
      <c r="W236" s="993">
        <v>2000000</v>
      </c>
      <c r="X236" s="993">
        <v>2000000</v>
      </c>
      <c r="Y236" s="993"/>
      <c r="Z236" s="993"/>
      <c r="AA236" s="993"/>
      <c r="AB236" s="993"/>
      <c r="AC236" s="993"/>
      <c r="AD236" s="993"/>
      <c r="AE236" s="993"/>
      <c r="AF236" s="993"/>
      <c r="AG236" s="993">
        <f t="shared" si="21"/>
        <v>4000000</v>
      </c>
      <c r="AH236" s="992" t="s">
        <v>237</v>
      </c>
      <c r="AI236" s="992"/>
      <c r="AJ236" s="992"/>
      <c r="AK236" s="950" t="s">
        <v>1512</v>
      </c>
      <c r="AL236" s="992"/>
      <c r="AM236" s="992">
        <v>100</v>
      </c>
      <c r="AN236" s="996">
        <f t="shared" si="22"/>
        <v>100</v>
      </c>
    </row>
    <row r="237" spans="1:40" ht="105" x14ac:dyDescent="0.25">
      <c r="A237" s="1234"/>
      <c r="B237" s="1234"/>
      <c r="C237" s="1237"/>
      <c r="D237" s="1234"/>
      <c r="E237" s="1234"/>
      <c r="F237" s="1237"/>
      <c r="G237" s="1240"/>
      <c r="H237" s="1237"/>
      <c r="I237" s="992">
        <v>5</v>
      </c>
      <c r="J237" s="950" t="s">
        <v>1487</v>
      </c>
      <c r="K237" s="950" t="s">
        <v>1499</v>
      </c>
      <c r="L237" s="950" t="s">
        <v>1513</v>
      </c>
      <c r="M237" s="993">
        <v>4000000</v>
      </c>
      <c r="N237" s="993" t="s">
        <v>329</v>
      </c>
      <c r="O237" s="994">
        <v>41530</v>
      </c>
      <c r="P237" s="994">
        <v>41591</v>
      </c>
      <c r="Q237" s="994">
        <v>41591</v>
      </c>
      <c r="R237" s="995" t="s">
        <v>1521</v>
      </c>
      <c r="S237" s="993">
        <v>4000000</v>
      </c>
      <c r="T237" s="995" t="s">
        <v>1522</v>
      </c>
      <c r="U237" s="993">
        <v>4000000</v>
      </c>
      <c r="V237" s="993"/>
      <c r="W237" s="993">
        <v>2000000</v>
      </c>
      <c r="X237" s="993">
        <v>2000000</v>
      </c>
      <c r="Y237" s="993"/>
      <c r="Z237" s="993"/>
      <c r="AA237" s="993"/>
      <c r="AB237" s="993"/>
      <c r="AC237" s="993"/>
      <c r="AD237" s="993"/>
      <c r="AE237" s="993"/>
      <c r="AF237" s="993"/>
      <c r="AG237" s="993">
        <f t="shared" si="21"/>
        <v>4000000</v>
      </c>
      <c r="AH237" s="992" t="s">
        <v>237</v>
      </c>
      <c r="AI237" s="992"/>
      <c r="AJ237" s="992"/>
      <c r="AK237" s="950" t="s">
        <v>1513</v>
      </c>
      <c r="AL237" s="992"/>
      <c r="AM237" s="992">
        <v>100</v>
      </c>
      <c r="AN237" s="996">
        <f t="shared" si="22"/>
        <v>100</v>
      </c>
    </row>
    <row r="238" spans="1:40" ht="60" x14ac:dyDescent="0.25">
      <c r="A238" s="1234"/>
      <c r="B238" s="1234"/>
      <c r="C238" s="1237"/>
      <c r="D238" s="1234"/>
      <c r="E238" s="1234"/>
      <c r="F238" s="1237"/>
      <c r="G238" s="1240"/>
      <c r="H238" s="1237"/>
      <c r="I238" s="992">
        <v>6</v>
      </c>
      <c r="J238" s="950" t="s">
        <v>1488</v>
      </c>
      <c r="K238" s="950" t="s">
        <v>1500</v>
      </c>
      <c r="L238" s="992" t="s">
        <v>1514</v>
      </c>
      <c r="M238" s="993">
        <v>2604000</v>
      </c>
      <c r="N238" s="993" t="s">
        <v>1517</v>
      </c>
      <c r="O238" s="994"/>
      <c r="P238" s="994"/>
      <c r="Q238" s="994"/>
      <c r="R238" s="993"/>
      <c r="S238" s="993"/>
      <c r="T238" s="993"/>
      <c r="U238" s="993"/>
      <c r="V238" s="993"/>
      <c r="W238" s="993">
        <v>2604000</v>
      </c>
      <c r="X238" s="993"/>
      <c r="Y238" s="993"/>
      <c r="Z238" s="993"/>
      <c r="AA238" s="993"/>
      <c r="AB238" s="993"/>
      <c r="AC238" s="993"/>
      <c r="AD238" s="993"/>
      <c r="AE238" s="993"/>
      <c r="AF238" s="993"/>
      <c r="AG238" s="993">
        <f t="shared" si="21"/>
        <v>2604000</v>
      </c>
      <c r="AH238" s="992" t="s">
        <v>237</v>
      </c>
      <c r="AI238" s="992"/>
      <c r="AJ238" s="992"/>
      <c r="AK238" s="992" t="s">
        <v>1514</v>
      </c>
      <c r="AL238" s="992"/>
      <c r="AM238" s="992">
        <v>100</v>
      </c>
      <c r="AN238" s="996">
        <v>100</v>
      </c>
    </row>
    <row r="239" spans="1:40" ht="150" x14ac:dyDescent="0.25">
      <c r="A239" s="1234"/>
      <c r="B239" s="1234"/>
      <c r="C239" s="1237"/>
      <c r="D239" s="1234"/>
      <c r="E239" s="1234"/>
      <c r="F239" s="1237"/>
      <c r="G239" s="1240"/>
      <c r="H239" s="1237"/>
      <c r="I239" s="992">
        <v>7</v>
      </c>
      <c r="J239" s="950" t="s">
        <v>1489</v>
      </c>
      <c r="K239" s="950" t="s">
        <v>1501</v>
      </c>
      <c r="L239" s="950" t="s">
        <v>1515</v>
      </c>
      <c r="M239" s="993">
        <v>1600000</v>
      </c>
      <c r="N239" s="993" t="s">
        <v>329</v>
      </c>
      <c r="O239" s="994"/>
      <c r="P239" s="994"/>
      <c r="Q239" s="994"/>
      <c r="R239" s="995" t="s">
        <v>1523</v>
      </c>
      <c r="S239" s="993">
        <v>1600000</v>
      </c>
      <c r="T239" s="995" t="s">
        <v>1524</v>
      </c>
      <c r="U239" s="993">
        <v>1600000</v>
      </c>
      <c r="V239" s="993"/>
      <c r="W239" s="993">
        <v>800000</v>
      </c>
      <c r="X239" s="993">
        <v>800000</v>
      </c>
      <c r="Y239" s="993"/>
      <c r="Z239" s="993"/>
      <c r="AA239" s="993"/>
      <c r="AB239" s="993"/>
      <c r="AC239" s="993"/>
      <c r="AD239" s="993"/>
      <c r="AE239" s="993"/>
      <c r="AF239" s="993"/>
      <c r="AG239" s="993">
        <f t="shared" si="21"/>
        <v>1600000</v>
      </c>
      <c r="AH239" s="992" t="s">
        <v>237</v>
      </c>
      <c r="AI239" s="992"/>
      <c r="AJ239" s="992"/>
      <c r="AK239" s="950" t="s">
        <v>1515</v>
      </c>
      <c r="AL239" s="992"/>
      <c r="AM239" s="992">
        <v>100</v>
      </c>
      <c r="AN239" s="996">
        <f t="shared" si="22"/>
        <v>100</v>
      </c>
    </row>
    <row r="240" spans="1:40" ht="150" x14ac:dyDescent="0.25">
      <c r="A240" s="1234"/>
      <c r="B240" s="1234"/>
      <c r="C240" s="1237"/>
      <c r="D240" s="1234"/>
      <c r="E240" s="1234"/>
      <c r="F240" s="1237"/>
      <c r="G240" s="1240"/>
      <c r="H240" s="1237"/>
      <c r="I240" s="992">
        <v>8</v>
      </c>
      <c r="J240" s="950" t="s">
        <v>1490</v>
      </c>
      <c r="K240" s="950" t="s">
        <v>1502</v>
      </c>
      <c r="L240" s="950" t="s">
        <v>1515</v>
      </c>
      <c r="M240" s="993">
        <v>1200000</v>
      </c>
      <c r="N240" s="993" t="s">
        <v>329</v>
      </c>
      <c r="O240" s="994">
        <v>41530</v>
      </c>
      <c r="P240" s="994">
        <v>41591</v>
      </c>
      <c r="Q240" s="994">
        <v>41591</v>
      </c>
      <c r="R240" s="995" t="s">
        <v>1525</v>
      </c>
      <c r="S240" s="993">
        <v>1200000</v>
      </c>
      <c r="T240" s="995" t="s">
        <v>1526</v>
      </c>
      <c r="U240" s="993">
        <v>1200000</v>
      </c>
      <c r="V240" s="993"/>
      <c r="W240" s="993">
        <v>600000</v>
      </c>
      <c r="X240" s="993">
        <v>600000</v>
      </c>
      <c r="Y240" s="993"/>
      <c r="Z240" s="993"/>
      <c r="AA240" s="993"/>
      <c r="AB240" s="993"/>
      <c r="AC240" s="993"/>
      <c r="AD240" s="993"/>
      <c r="AE240" s="993"/>
      <c r="AF240" s="993"/>
      <c r="AG240" s="993">
        <f t="shared" si="21"/>
        <v>1200000</v>
      </c>
      <c r="AH240" s="992" t="s">
        <v>237</v>
      </c>
      <c r="AI240" s="992"/>
      <c r="AJ240" s="992"/>
      <c r="AK240" s="950" t="s">
        <v>1515</v>
      </c>
      <c r="AL240" s="992"/>
      <c r="AM240" s="992">
        <v>100</v>
      </c>
      <c r="AN240" s="996">
        <f t="shared" si="22"/>
        <v>100</v>
      </c>
    </row>
    <row r="241" spans="1:40" ht="150" x14ac:dyDescent="0.25">
      <c r="A241" s="1234"/>
      <c r="B241" s="1234"/>
      <c r="C241" s="1237"/>
      <c r="D241" s="1234"/>
      <c r="E241" s="1234"/>
      <c r="F241" s="1237"/>
      <c r="G241" s="1240"/>
      <c r="H241" s="1237"/>
      <c r="I241" s="997">
        <v>9</v>
      </c>
      <c r="J241" s="950" t="s">
        <v>1491</v>
      </c>
      <c r="K241" s="950" t="s">
        <v>1503</v>
      </c>
      <c r="L241" s="950" t="s">
        <v>1515</v>
      </c>
      <c r="M241" s="993">
        <v>1200000</v>
      </c>
      <c r="N241" s="993" t="s">
        <v>329</v>
      </c>
      <c r="O241" s="994">
        <v>41530</v>
      </c>
      <c r="P241" s="994">
        <v>41591</v>
      </c>
      <c r="Q241" s="994">
        <v>41591</v>
      </c>
      <c r="R241" s="995" t="s">
        <v>1527</v>
      </c>
      <c r="S241" s="993">
        <v>1200000</v>
      </c>
      <c r="T241" s="995" t="s">
        <v>1528</v>
      </c>
      <c r="U241" s="993">
        <v>1200000</v>
      </c>
      <c r="V241" s="998"/>
      <c r="W241" s="993">
        <v>600000</v>
      </c>
      <c r="X241" s="993">
        <v>600000</v>
      </c>
      <c r="Y241" s="998"/>
      <c r="Z241" s="998"/>
      <c r="AA241" s="998"/>
      <c r="AB241" s="998"/>
      <c r="AC241" s="998"/>
      <c r="AD241" s="998"/>
      <c r="AE241" s="998"/>
      <c r="AF241" s="998"/>
      <c r="AG241" s="993">
        <f t="shared" si="21"/>
        <v>1200000</v>
      </c>
      <c r="AH241" s="992" t="s">
        <v>237</v>
      </c>
      <c r="AI241" s="999"/>
      <c r="AJ241" s="999"/>
      <c r="AK241" s="950" t="s">
        <v>1515</v>
      </c>
      <c r="AL241" s="999"/>
      <c r="AM241" s="992">
        <v>100</v>
      </c>
      <c r="AN241" s="996">
        <f t="shared" si="22"/>
        <v>100</v>
      </c>
    </row>
    <row r="242" spans="1:40" ht="150" x14ac:dyDescent="0.25">
      <c r="A242" s="1234"/>
      <c r="B242" s="1234"/>
      <c r="C242" s="1237"/>
      <c r="D242" s="1234"/>
      <c r="E242" s="1234"/>
      <c r="F242" s="1237"/>
      <c r="G242" s="1240"/>
      <c r="H242" s="1237"/>
      <c r="I242" s="997">
        <v>10</v>
      </c>
      <c r="J242" s="950" t="s">
        <v>1492</v>
      </c>
      <c r="K242" s="950" t="s">
        <v>1504</v>
      </c>
      <c r="L242" s="950" t="s">
        <v>1515</v>
      </c>
      <c r="M242" s="993">
        <v>800000</v>
      </c>
      <c r="N242" s="993" t="s">
        <v>329</v>
      </c>
      <c r="O242" s="994">
        <v>41530</v>
      </c>
      <c r="P242" s="994">
        <v>41591</v>
      </c>
      <c r="Q242" s="994">
        <v>41591</v>
      </c>
      <c r="R242" s="995" t="s">
        <v>1529</v>
      </c>
      <c r="S242" s="993">
        <v>800000</v>
      </c>
      <c r="T242" s="995" t="s">
        <v>1530</v>
      </c>
      <c r="U242" s="993">
        <v>800000</v>
      </c>
      <c r="V242" s="998"/>
      <c r="W242" s="993">
        <v>400000</v>
      </c>
      <c r="X242" s="993">
        <v>400000</v>
      </c>
      <c r="Y242" s="998"/>
      <c r="Z242" s="998"/>
      <c r="AA242" s="998"/>
      <c r="AB242" s="998"/>
      <c r="AC242" s="998"/>
      <c r="AD242" s="998"/>
      <c r="AE242" s="998"/>
      <c r="AF242" s="998"/>
      <c r="AG242" s="993">
        <f t="shared" si="21"/>
        <v>800000</v>
      </c>
      <c r="AH242" s="992" t="s">
        <v>237</v>
      </c>
      <c r="AI242" s="999"/>
      <c r="AJ242" s="999"/>
      <c r="AK242" s="950" t="s">
        <v>1515</v>
      </c>
      <c r="AL242" s="999"/>
      <c r="AM242" s="992">
        <v>100</v>
      </c>
      <c r="AN242" s="996">
        <f t="shared" si="22"/>
        <v>100</v>
      </c>
    </row>
    <row r="243" spans="1:40" ht="150" x14ac:dyDescent="0.25">
      <c r="A243" s="1234"/>
      <c r="B243" s="1234"/>
      <c r="C243" s="1237"/>
      <c r="D243" s="1234"/>
      <c r="E243" s="1234"/>
      <c r="F243" s="1237"/>
      <c r="G243" s="1240"/>
      <c r="H243" s="1237"/>
      <c r="I243" s="997">
        <v>11</v>
      </c>
      <c r="J243" s="950" t="s">
        <v>1493</v>
      </c>
      <c r="K243" s="950" t="s">
        <v>1505</v>
      </c>
      <c r="L243" s="950" t="s">
        <v>1515</v>
      </c>
      <c r="M243" s="993">
        <v>800000</v>
      </c>
      <c r="N243" s="993" t="s">
        <v>329</v>
      </c>
      <c r="O243" s="994">
        <v>41530</v>
      </c>
      <c r="P243" s="994">
        <v>41591</v>
      </c>
      <c r="Q243" s="994">
        <v>41591</v>
      </c>
      <c r="R243" s="995" t="s">
        <v>1531</v>
      </c>
      <c r="S243" s="993">
        <v>800000</v>
      </c>
      <c r="T243" s="995" t="s">
        <v>1532</v>
      </c>
      <c r="U243" s="993">
        <v>800000</v>
      </c>
      <c r="V243" s="998"/>
      <c r="W243" s="993">
        <v>400000</v>
      </c>
      <c r="X243" s="993">
        <v>400000</v>
      </c>
      <c r="Y243" s="998"/>
      <c r="Z243" s="998"/>
      <c r="AA243" s="998"/>
      <c r="AB243" s="998"/>
      <c r="AC243" s="998"/>
      <c r="AD243" s="998"/>
      <c r="AE243" s="998"/>
      <c r="AF243" s="998"/>
      <c r="AG243" s="993">
        <f t="shared" si="21"/>
        <v>800000</v>
      </c>
      <c r="AH243" s="992" t="s">
        <v>237</v>
      </c>
      <c r="AI243" s="999"/>
      <c r="AJ243" s="999"/>
      <c r="AK243" s="950" t="s">
        <v>1515</v>
      </c>
      <c r="AL243" s="999"/>
      <c r="AM243" s="992">
        <v>100</v>
      </c>
      <c r="AN243" s="996">
        <f t="shared" si="22"/>
        <v>100</v>
      </c>
    </row>
    <row r="244" spans="1:40" ht="150" x14ac:dyDescent="0.25">
      <c r="A244" s="1234"/>
      <c r="B244" s="1234"/>
      <c r="C244" s="1237"/>
      <c r="D244" s="1234"/>
      <c r="E244" s="1234"/>
      <c r="F244" s="1237"/>
      <c r="G244" s="1240"/>
      <c r="H244" s="1237"/>
      <c r="I244" s="997">
        <v>12</v>
      </c>
      <c r="J244" s="950" t="s">
        <v>1494</v>
      </c>
      <c r="K244" s="950" t="s">
        <v>1506</v>
      </c>
      <c r="L244" s="950" t="s">
        <v>1515</v>
      </c>
      <c r="M244" s="993">
        <v>1200000</v>
      </c>
      <c r="N244" s="993" t="s">
        <v>329</v>
      </c>
      <c r="O244" s="994">
        <v>41530</v>
      </c>
      <c r="P244" s="994">
        <v>41591</v>
      </c>
      <c r="Q244" s="994">
        <v>41591</v>
      </c>
      <c r="R244" s="995" t="s">
        <v>1533</v>
      </c>
      <c r="S244" s="993">
        <v>1200000</v>
      </c>
      <c r="T244" s="995" t="s">
        <v>1534</v>
      </c>
      <c r="U244" s="993">
        <v>1200000</v>
      </c>
      <c r="V244" s="998"/>
      <c r="W244" s="993">
        <v>1200000</v>
      </c>
      <c r="X244" s="998"/>
      <c r="Y244" s="998"/>
      <c r="Z244" s="998"/>
      <c r="AA244" s="998"/>
      <c r="AB244" s="998"/>
      <c r="AC244" s="998"/>
      <c r="AD244" s="998"/>
      <c r="AE244" s="998"/>
      <c r="AF244" s="998"/>
      <c r="AG244" s="993">
        <f t="shared" si="21"/>
        <v>1200000</v>
      </c>
      <c r="AH244" s="992" t="s">
        <v>237</v>
      </c>
      <c r="AI244" s="999"/>
      <c r="AJ244" s="999"/>
      <c r="AK244" s="950" t="s">
        <v>1515</v>
      </c>
      <c r="AL244" s="999"/>
      <c r="AM244" s="992">
        <v>100</v>
      </c>
      <c r="AN244" s="996">
        <f t="shared" si="22"/>
        <v>100</v>
      </c>
    </row>
    <row r="245" spans="1:40" ht="30" x14ac:dyDescent="0.25">
      <c r="A245" s="1235"/>
      <c r="B245" s="1235"/>
      <c r="C245" s="1238"/>
      <c r="D245" s="1235"/>
      <c r="E245" s="1235"/>
      <c r="F245" s="1238"/>
      <c r="G245" s="1241"/>
      <c r="H245" s="1238"/>
      <c r="I245" s="997">
        <v>13</v>
      </c>
      <c r="J245" s="992" t="s">
        <v>1495</v>
      </c>
      <c r="K245" s="950" t="s">
        <v>1500</v>
      </c>
      <c r="L245" s="950" t="s">
        <v>1507</v>
      </c>
      <c r="M245" s="993">
        <v>1290000</v>
      </c>
      <c r="N245" s="993"/>
      <c r="O245" s="994"/>
      <c r="P245" s="994"/>
      <c r="Q245" s="994"/>
      <c r="R245" s="993"/>
      <c r="S245" s="993"/>
      <c r="T245" s="993"/>
      <c r="U245" s="993"/>
      <c r="V245" s="998"/>
      <c r="W245" s="998">
        <v>1290000</v>
      </c>
      <c r="X245" s="998"/>
      <c r="Y245" s="998"/>
      <c r="Z245" s="998"/>
      <c r="AA245" s="998"/>
      <c r="AB245" s="998"/>
      <c r="AC245" s="998"/>
      <c r="AD245" s="998"/>
      <c r="AE245" s="998"/>
      <c r="AF245" s="998"/>
      <c r="AG245" s="993">
        <f t="shared" si="21"/>
        <v>1290000</v>
      </c>
      <c r="AH245" s="992" t="s">
        <v>237</v>
      </c>
      <c r="AI245" s="999"/>
      <c r="AJ245" s="999"/>
      <c r="AK245" s="950" t="s">
        <v>1507</v>
      </c>
      <c r="AL245" s="999"/>
      <c r="AM245" s="992">
        <v>100</v>
      </c>
      <c r="AN245" s="996">
        <v>100</v>
      </c>
    </row>
    <row r="246" spans="1:40" x14ac:dyDescent="0.25">
      <c r="A246" s="225"/>
      <c r="B246" s="225"/>
      <c r="C246" s="225"/>
      <c r="D246" s="225"/>
      <c r="E246" s="225"/>
      <c r="F246" s="225"/>
      <c r="G246" s="1029"/>
      <c r="H246" s="225"/>
      <c r="I246" s="225"/>
      <c r="J246" s="223"/>
      <c r="K246" s="225"/>
      <c r="L246" s="225"/>
      <c r="M246" s="1030">
        <f>SUM(M233:M245)</f>
        <v>55562750</v>
      </c>
      <c r="N246" s="1030"/>
      <c r="O246" s="727"/>
      <c r="P246" s="727"/>
      <c r="Q246" s="727"/>
      <c r="R246" s="1030"/>
      <c r="S246" s="1030"/>
      <c r="T246" s="1030"/>
      <c r="U246" s="1030">
        <f>SUM(U233:U245)</f>
        <v>14800000</v>
      </c>
      <c r="V246" s="1029"/>
      <c r="W246" s="1029"/>
      <c r="X246" s="1029"/>
      <c r="Y246" s="1029"/>
      <c r="Z246" s="1029"/>
      <c r="AA246" s="1029"/>
      <c r="AB246" s="1029"/>
      <c r="AC246" s="1029"/>
      <c r="AD246" s="1029"/>
      <c r="AE246" s="1029"/>
      <c r="AF246" s="1029"/>
      <c r="AG246" s="1030">
        <f>SUM(AG233:AG244)</f>
        <v>52272750</v>
      </c>
      <c r="AH246" s="225"/>
      <c r="AI246" s="225"/>
      <c r="AJ246" s="225"/>
      <c r="AK246" s="225"/>
      <c r="AL246" s="225"/>
      <c r="AM246" s="225">
        <f>SUM(AM233:AM245)/13</f>
        <v>100</v>
      </c>
      <c r="AN246" s="225">
        <f>SUM(AN233:AN245)/13</f>
        <v>100</v>
      </c>
    </row>
    <row r="247" spans="1:40" ht="60" x14ac:dyDescent="0.25">
      <c r="A247" s="1193">
        <v>53</v>
      </c>
      <c r="B247" s="1193" t="s">
        <v>390</v>
      </c>
      <c r="C247" s="1059" t="s">
        <v>1555</v>
      </c>
      <c r="D247" s="1244">
        <v>2013</v>
      </c>
      <c r="E247" s="1244" t="s">
        <v>1536</v>
      </c>
      <c r="F247" s="1245" t="s">
        <v>1535</v>
      </c>
      <c r="G247" s="1246" t="s">
        <v>1554</v>
      </c>
      <c r="H247" s="1245" t="s">
        <v>1537</v>
      </c>
      <c r="I247" s="247">
        <v>1</v>
      </c>
      <c r="J247" s="242" t="s">
        <v>1538</v>
      </c>
      <c r="K247" s="408" t="s">
        <v>1541</v>
      </c>
      <c r="L247" s="242" t="s">
        <v>1544</v>
      </c>
      <c r="M247" s="416">
        <v>44394058</v>
      </c>
      <c r="N247" s="519" t="s">
        <v>1545</v>
      </c>
      <c r="O247" s="939">
        <v>41586</v>
      </c>
      <c r="P247" s="939">
        <v>41639</v>
      </c>
      <c r="Q247" s="939">
        <v>41639</v>
      </c>
      <c r="R247" s="519" t="s">
        <v>1547</v>
      </c>
      <c r="S247" s="416">
        <f>23327625+21066433</f>
        <v>44394058</v>
      </c>
      <c r="T247" s="519" t="s">
        <v>1548</v>
      </c>
      <c r="U247" s="416">
        <f>23327625+21066433</f>
        <v>44394058</v>
      </c>
      <c r="V247" s="422"/>
      <c r="W247" s="416">
        <f>23327625+21066433</f>
        <v>44394058</v>
      </c>
      <c r="X247" s="422"/>
      <c r="Y247" s="422"/>
      <c r="Z247" s="422"/>
      <c r="AA247" s="422"/>
      <c r="AB247" s="422"/>
      <c r="AC247" s="422"/>
      <c r="AD247" s="422"/>
      <c r="AE247" s="422"/>
      <c r="AF247" s="422"/>
      <c r="AG247" s="416">
        <f t="shared" si="21"/>
        <v>44394058</v>
      </c>
      <c r="AH247" s="408" t="s">
        <v>237</v>
      </c>
      <c r="AI247" s="242" t="s">
        <v>1553</v>
      </c>
      <c r="AJ247" s="247"/>
      <c r="AK247" s="242" t="s">
        <v>1544</v>
      </c>
      <c r="AL247" s="247"/>
      <c r="AM247" s="408">
        <v>100</v>
      </c>
      <c r="AN247" s="464">
        <f t="shared" si="22"/>
        <v>100</v>
      </c>
    </row>
    <row r="248" spans="1:40" ht="60" x14ac:dyDescent="0.25">
      <c r="A248" s="1242"/>
      <c r="B248" s="1242"/>
      <c r="C248" s="1243"/>
      <c r="D248" s="1244"/>
      <c r="E248" s="1244"/>
      <c r="F248" s="1245"/>
      <c r="G248" s="1247"/>
      <c r="H248" s="1245"/>
      <c r="I248" s="247">
        <v>2</v>
      </c>
      <c r="J248" s="242" t="s">
        <v>1539</v>
      </c>
      <c r="K248" s="408" t="s">
        <v>1542</v>
      </c>
      <c r="L248" s="242" t="s">
        <v>1544</v>
      </c>
      <c r="M248" s="416">
        <v>18143709</v>
      </c>
      <c r="N248" s="519" t="s">
        <v>1545</v>
      </c>
      <c r="O248" s="939">
        <v>41586</v>
      </c>
      <c r="P248" s="939">
        <v>41639</v>
      </c>
      <c r="Q248" s="939">
        <v>41639</v>
      </c>
      <c r="R248" s="519" t="s">
        <v>1549</v>
      </c>
      <c r="S248" s="416">
        <v>18143709</v>
      </c>
      <c r="T248" s="519" t="s">
        <v>1550</v>
      </c>
      <c r="U248" s="416">
        <v>18143709</v>
      </c>
      <c r="V248" s="422"/>
      <c r="W248" s="416">
        <v>18143709</v>
      </c>
      <c r="X248" s="422"/>
      <c r="Y248" s="422"/>
      <c r="Z248" s="422"/>
      <c r="AA248" s="422"/>
      <c r="AB248" s="422"/>
      <c r="AC248" s="422"/>
      <c r="AD248" s="422"/>
      <c r="AE248" s="422"/>
      <c r="AF248" s="422"/>
      <c r="AG248" s="416">
        <f t="shared" si="21"/>
        <v>18143709</v>
      </c>
      <c r="AH248" s="408" t="s">
        <v>237</v>
      </c>
      <c r="AI248" s="242" t="s">
        <v>1553</v>
      </c>
      <c r="AJ248" s="247"/>
      <c r="AK248" s="242" t="s">
        <v>1544</v>
      </c>
      <c r="AL248" s="247"/>
      <c r="AM248" s="408">
        <v>100</v>
      </c>
      <c r="AN248" s="464">
        <f t="shared" si="22"/>
        <v>100</v>
      </c>
    </row>
    <row r="249" spans="1:40" ht="60" x14ac:dyDescent="0.25">
      <c r="A249" s="1194"/>
      <c r="B249" s="1194"/>
      <c r="C249" s="1060"/>
      <c r="D249" s="1244"/>
      <c r="E249" s="1244"/>
      <c r="F249" s="1245"/>
      <c r="G249" s="1247"/>
      <c r="H249" s="1245"/>
      <c r="I249" s="247">
        <v>3</v>
      </c>
      <c r="J249" s="242" t="s">
        <v>1540</v>
      </c>
      <c r="K249" s="242" t="s">
        <v>1543</v>
      </c>
      <c r="L249" s="242" t="s">
        <v>1544</v>
      </c>
      <c r="M249" s="416">
        <v>30000000</v>
      </c>
      <c r="N249" s="519" t="s">
        <v>1546</v>
      </c>
      <c r="O249" s="939">
        <v>41586</v>
      </c>
      <c r="P249" s="939">
        <v>41639</v>
      </c>
      <c r="Q249" s="939">
        <v>41639</v>
      </c>
      <c r="R249" s="519" t="s">
        <v>1551</v>
      </c>
      <c r="S249" s="416">
        <f>15829460+14295079</f>
        <v>30124539</v>
      </c>
      <c r="T249" s="519" t="s">
        <v>1552</v>
      </c>
      <c r="U249" s="416">
        <f>14295079+15829460</f>
        <v>30124539</v>
      </c>
      <c r="V249" s="422"/>
      <c r="W249" s="416">
        <v>30000000</v>
      </c>
      <c r="X249" s="422"/>
      <c r="Y249" s="422"/>
      <c r="Z249" s="422"/>
      <c r="AA249" s="422"/>
      <c r="AB249" s="422"/>
      <c r="AC249" s="422"/>
      <c r="AD249" s="422"/>
      <c r="AE249" s="422"/>
      <c r="AF249" s="422"/>
      <c r="AG249" s="416">
        <f t="shared" si="21"/>
        <v>30000000</v>
      </c>
      <c r="AH249" s="408" t="s">
        <v>237</v>
      </c>
      <c r="AI249" s="242" t="s">
        <v>1553</v>
      </c>
      <c r="AJ249" s="247"/>
      <c r="AK249" s="242" t="s">
        <v>1544</v>
      </c>
      <c r="AL249" s="247"/>
      <c r="AM249" s="408">
        <v>100</v>
      </c>
      <c r="AN249" s="1002">
        <f>(AG249*100)/U249</f>
        <v>99.586586204688473</v>
      </c>
    </row>
    <row r="250" spans="1:40" x14ac:dyDescent="0.25">
      <c r="A250" s="247"/>
      <c r="B250" s="247"/>
      <c r="C250" s="247"/>
      <c r="D250" s="247"/>
      <c r="E250" s="247"/>
      <c r="F250" s="247"/>
      <c r="G250" s="247"/>
      <c r="H250" s="247"/>
      <c r="I250" s="247"/>
      <c r="J250" s="247"/>
      <c r="K250" s="247"/>
      <c r="L250" s="247"/>
      <c r="M250" s="422">
        <f>SUM(M247:M249)</f>
        <v>92537767</v>
      </c>
      <c r="N250" s="247"/>
      <c r="O250" s="247"/>
      <c r="P250" s="247"/>
      <c r="Q250" s="247"/>
      <c r="R250" s="247"/>
      <c r="S250" s="247"/>
      <c r="T250" s="247"/>
      <c r="U250" s="422">
        <f>SUM(U247:U249)</f>
        <v>92662306</v>
      </c>
      <c r="V250" s="247"/>
      <c r="W250" s="247"/>
      <c r="X250" s="247"/>
      <c r="Y250" s="247"/>
      <c r="Z250" s="247"/>
      <c r="AA250" s="247"/>
      <c r="AB250" s="247"/>
      <c r="AC250" s="247"/>
      <c r="AD250" s="247"/>
      <c r="AE250" s="247"/>
      <c r="AF250" s="247"/>
      <c r="AG250" s="416">
        <f>SUM(AG247:AH249)</f>
        <v>92537767</v>
      </c>
      <c r="AH250" s="247"/>
      <c r="AI250" s="247"/>
      <c r="AJ250" s="247"/>
      <c r="AK250" s="247"/>
      <c r="AL250" s="247"/>
      <c r="AM250" s="247">
        <f>SUM(AM247:AM249)/3</f>
        <v>100</v>
      </c>
      <c r="AN250" s="1003">
        <f>SUM(AN247:AN249)/3</f>
        <v>99.862195401562829</v>
      </c>
    </row>
    <row r="251" spans="1:40" ht="75" x14ac:dyDescent="0.25">
      <c r="A251" s="249">
        <v>54</v>
      </c>
      <c r="B251" s="249" t="s">
        <v>390</v>
      </c>
      <c r="C251" s="249" t="s">
        <v>1555</v>
      </c>
      <c r="D251" s="249">
        <v>2013</v>
      </c>
      <c r="E251" s="249"/>
      <c r="F251" s="249" t="s">
        <v>1593</v>
      </c>
      <c r="G251" s="1000">
        <v>587289000</v>
      </c>
      <c r="H251" s="249" t="s">
        <v>1860</v>
      </c>
      <c r="I251" s="249">
        <v>1</v>
      </c>
      <c r="J251" s="249" t="s">
        <v>1594</v>
      </c>
      <c r="K251" s="249" t="s">
        <v>1595</v>
      </c>
      <c r="L251" s="249" t="s">
        <v>1596</v>
      </c>
      <c r="M251" s="1000">
        <v>587288988</v>
      </c>
      <c r="N251" s="249" t="s">
        <v>1597</v>
      </c>
      <c r="O251" s="249" t="s">
        <v>1598</v>
      </c>
      <c r="P251" s="251">
        <v>41639</v>
      </c>
      <c r="Q251" s="251">
        <v>41486</v>
      </c>
      <c r="R251" s="249" t="s">
        <v>1599</v>
      </c>
      <c r="S251" s="1000">
        <v>587288988</v>
      </c>
      <c r="T251" s="249" t="s">
        <v>1600</v>
      </c>
      <c r="U251" s="1000">
        <v>587288988</v>
      </c>
      <c r="V251" s="1000">
        <f>U251*40%</f>
        <v>234915595.20000002</v>
      </c>
      <c r="W251" s="249"/>
      <c r="X251" s="249"/>
      <c r="Y251" s="249"/>
      <c r="Z251" s="249"/>
      <c r="AA251" s="249"/>
      <c r="AB251" s="249"/>
      <c r="AC251" s="249"/>
      <c r="AD251" s="249"/>
      <c r="AE251" s="249"/>
      <c r="AF251" s="249"/>
      <c r="AG251" s="990">
        <f t="shared" si="21"/>
        <v>234915595.20000002</v>
      </c>
      <c r="AH251" s="249" t="s">
        <v>547</v>
      </c>
      <c r="AI251" s="249" t="s">
        <v>1601</v>
      </c>
      <c r="AJ251" s="249"/>
      <c r="AK251" s="249" t="s">
        <v>1596</v>
      </c>
      <c r="AL251" s="249"/>
      <c r="AM251" s="249">
        <v>80</v>
      </c>
      <c r="AN251" s="1001">
        <f>(AG251*100)/U251</f>
        <v>40</v>
      </c>
    </row>
    <row r="252" spans="1:40" ht="150" x14ac:dyDescent="0.25">
      <c r="A252" s="1248">
        <v>55</v>
      </c>
      <c r="B252" s="1248" t="s">
        <v>390</v>
      </c>
      <c r="C252" s="1248" t="s">
        <v>1592</v>
      </c>
      <c r="D252" s="1248">
        <v>2013</v>
      </c>
      <c r="E252" s="1248" t="s">
        <v>1591</v>
      </c>
      <c r="F252" s="1248" t="s">
        <v>1589</v>
      </c>
      <c r="G252" s="1251">
        <v>284121000</v>
      </c>
      <c r="H252" s="1248" t="s">
        <v>1590</v>
      </c>
      <c r="I252" s="1006">
        <v>1</v>
      </c>
      <c r="J252" s="1006" t="s">
        <v>1556</v>
      </c>
      <c r="K252" s="1006" t="s">
        <v>1560</v>
      </c>
      <c r="L252" s="1006" t="s">
        <v>1568</v>
      </c>
      <c r="M252" s="1007">
        <v>9900000</v>
      </c>
      <c r="N252" s="1006" t="s">
        <v>329</v>
      </c>
      <c r="O252" s="1008">
        <v>41568</v>
      </c>
      <c r="P252" s="1008">
        <v>41639</v>
      </c>
      <c r="Q252" s="1008">
        <v>41639</v>
      </c>
      <c r="R252" s="1006" t="s">
        <v>1573</v>
      </c>
      <c r="S252" s="1007">
        <v>13200000</v>
      </c>
      <c r="T252" s="1006" t="s">
        <v>1574</v>
      </c>
      <c r="U252" s="1007">
        <v>9900000</v>
      </c>
      <c r="V252" s="1006"/>
      <c r="W252" s="1007">
        <v>3960000</v>
      </c>
      <c r="X252" s="1007">
        <v>3960000</v>
      </c>
      <c r="Y252" s="1007">
        <v>1980000</v>
      </c>
      <c r="Z252" s="1007"/>
      <c r="AA252" s="1007"/>
      <c r="AB252" s="1007"/>
      <c r="AC252" s="1007"/>
      <c r="AD252" s="1007"/>
      <c r="AE252" s="1007"/>
      <c r="AF252" s="1007"/>
      <c r="AG252" s="1007">
        <f t="shared" ref="AG252:AG256" si="23">SUM(V252:AF252)</f>
        <v>9900000</v>
      </c>
      <c r="AH252" s="1006" t="s">
        <v>237</v>
      </c>
      <c r="AI252" s="1006" t="s">
        <v>1587</v>
      </c>
      <c r="AJ252" s="1006"/>
      <c r="AK252" s="1006" t="s">
        <v>1732</v>
      </c>
      <c r="AL252" s="1006" t="s">
        <v>1733</v>
      </c>
      <c r="AM252" s="1006">
        <v>100</v>
      </c>
      <c r="AN252" s="1009">
        <f t="shared" ref="AN252:AN257" si="24">(AG252*100)/U252</f>
        <v>100</v>
      </c>
    </row>
    <row r="253" spans="1:40" ht="150" x14ac:dyDescent="0.25">
      <c r="A253" s="1249"/>
      <c r="B253" s="1249"/>
      <c r="C253" s="1249"/>
      <c r="D253" s="1249"/>
      <c r="E253" s="1249"/>
      <c r="F253" s="1249"/>
      <c r="G253" s="1252"/>
      <c r="H253" s="1249"/>
      <c r="I253" s="1006">
        <v>2</v>
      </c>
      <c r="J253" s="1006" t="s">
        <v>1557</v>
      </c>
      <c r="K253" s="1006" t="s">
        <v>1561</v>
      </c>
      <c r="L253" s="1006" t="s">
        <v>1569</v>
      </c>
      <c r="M253" s="1007">
        <v>9000000</v>
      </c>
      <c r="N253" s="1006" t="s">
        <v>329</v>
      </c>
      <c r="O253" s="1008">
        <v>41568</v>
      </c>
      <c r="P253" s="1008">
        <v>41639</v>
      </c>
      <c r="Q253" s="1008">
        <v>41639</v>
      </c>
      <c r="R253" s="1006" t="s">
        <v>1575</v>
      </c>
      <c r="S253" s="1007">
        <v>12000000</v>
      </c>
      <c r="T253" s="1006" t="s">
        <v>1576</v>
      </c>
      <c r="U253" s="1007">
        <v>9000000</v>
      </c>
      <c r="V253" s="1006"/>
      <c r="W253" s="1007">
        <v>3600000</v>
      </c>
      <c r="X253" s="1007">
        <v>3600000</v>
      </c>
      <c r="Y253" s="1007">
        <v>1800000</v>
      </c>
      <c r="Z253" s="1007"/>
      <c r="AA253" s="1007"/>
      <c r="AB253" s="1007"/>
      <c r="AC253" s="1007"/>
      <c r="AD253" s="1007"/>
      <c r="AE253" s="1007"/>
      <c r="AF253" s="1007"/>
      <c r="AG253" s="1007">
        <f t="shared" si="23"/>
        <v>9000000</v>
      </c>
      <c r="AH253" s="1006" t="s">
        <v>173</v>
      </c>
      <c r="AI253" s="1006" t="s">
        <v>1587</v>
      </c>
      <c r="AJ253" s="1006" t="s">
        <v>1588</v>
      </c>
      <c r="AK253" s="1006" t="s">
        <v>1734</v>
      </c>
      <c r="AL253" s="1006" t="s">
        <v>1735</v>
      </c>
      <c r="AM253" s="1006">
        <v>100</v>
      </c>
      <c r="AN253" s="1009">
        <f t="shared" si="24"/>
        <v>100</v>
      </c>
    </row>
    <row r="254" spans="1:40" ht="150" x14ac:dyDescent="0.25">
      <c r="A254" s="1249"/>
      <c r="B254" s="1249"/>
      <c r="C254" s="1249"/>
      <c r="D254" s="1249"/>
      <c r="E254" s="1249"/>
      <c r="F254" s="1249"/>
      <c r="G254" s="1252"/>
      <c r="H254" s="1249"/>
      <c r="I254" s="1006">
        <v>3</v>
      </c>
      <c r="J254" s="1006" t="s">
        <v>1558</v>
      </c>
      <c r="K254" s="1006" t="s">
        <v>1562</v>
      </c>
      <c r="L254" s="1006" t="s">
        <v>1570</v>
      </c>
      <c r="M254" s="1007">
        <v>9000000</v>
      </c>
      <c r="N254" s="1006" t="s">
        <v>329</v>
      </c>
      <c r="O254" s="1008">
        <v>41568</v>
      </c>
      <c r="P254" s="1008">
        <v>41639</v>
      </c>
      <c r="Q254" s="1008">
        <v>41639</v>
      </c>
      <c r="R254" s="1006" t="s">
        <v>1579</v>
      </c>
      <c r="S254" s="1007">
        <v>12000000</v>
      </c>
      <c r="T254" s="1006" t="s">
        <v>1580</v>
      </c>
      <c r="U254" s="1007">
        <v>9000000</v>
      </c>
      <c r="V254" s="1006"/>
      <c r="W254" s="1007">
        <v>3600000</v>
      </c>
      <c r="X254" s="1007">
        <v>3600000</v>
      </c>
      <c r="Y254" s="1007">
        <v>1800000</v>
      </c>
      <c r="Z254" s="1007"/>
      <c r="AA254" s="1007"/>
      <c r="AB254" s="1007"/>
      <c r="AC254" s="1007"/>
      <c r="AD254" s="1007"/>
      <c r="AE254" s="1007"/>
      <c r="AF254" s="1007"/>
      <c r="AG254" s="1007">
        <f t="shared" si="23"/>
        <v>9000000</v>
      </c>
      <c r="AH254" s="1006" t="s">
        <v>237</v>
      </c>
      <c r="AI254" s="1006" t="s">
        <v>1587</v>
      </c>
      <c r="AJ254" s="1006"/>
      <c r="AK254" s="1006" t="s">
        <v>1741</v>
      </c>
      <c r="AL254" s="1006" t="s">
        <v>1742</v>
      </c>
      <c r="AM254" s="1006">
        <v>100</v>
      </c>
      <c r="AN254" s="1009">
        <f t="shared" si="24"/>
        <v>100</v>
      </c>
    </row>
    <row r="255" spans="1:40" ht="135" x14ac:dyDescent="0.25">
      <c r="A255" s="1249"/>
      <c r="B255" s="1249"/>
      <c r="C255" s="1249"/>
      <c r="D255" s="1249"/>
      <c r="E255" s="1249"/>
      <c r="F255" s="1249"/>
      <c r="G255" s="1252"/>
      <c r="H255" s="1249"/>
      <c r="I255" s="1006">
        <v>4</v>
      </c>
      <c r="J255" s="1006" t="s">
        <v>1559</v>
      </c>
      <c r="K255" s="1006" t="s">
        <v>1563</v>
      </c>
      <c r="L255" s="1006" t="s">
        <v>1577</v>
      </c>
      <c r="M255" s="1007">
        <v>9000000</v>
      </c>
      <c r="N255" s="1006" t="s">
        <v>329</v>
      </c>
      <c r="O255" s="1008">
        <v>41568</v>
      </c>
      <c r="P255" s="1008">
        <v>41639</v>
      </c>
      <c r="Q255" s="1008">
        <v>41639</v>
      </c>
      <c r="R255" s="1006" t="s">
        <v>1581</v>
      </c>
      <c r="S255" s="1007">
        <v>12000000</v>
      </c>
      <c r="T255" s="1006" t="s">
        <v>1582</v>
      </c>
      <c r="U255" s="1007">
        <v>9000000</v>
      </c>
      <c r="V255" s="1006"/>
      <c r="W255" s="1007">
        <v>3600000</v>
      </c>
      <c r="X255" s="1007">
        <v>3600000</v>
      </c>
      <c r="Y255" s="1007">
        <v>1800000</v>
      </c>
      <c r="Z255" s="1007"/>
      <c r="AA255" s="1007"/>
      <c r="AB255" s="1007"/>
      <c r="AC255" s="1007"/>
      <c r="AD255" s="1007"/>
      <c r="AE255" s="1007"/>
      <c r="AF255" s="1007"/>
      <c r="AG255" s="1007">
        <f t="shared" si="23"/>
        <v>9000000</v>
      </c>
      <c r="AH255" s="1006" t="s">
        <v>237</v>
      </c>
      <c r="AI255" s="1006" t="s">
        <v>1587</v>
      </c>
      <c r="AJ255" s="1006"/>
      <c r="AK255" s="1006" t="s">
        <v>1737</v>
      </c>
      <c r="AL255" s="1006" t="s">
        <v>1738</v>
      </c>
      <c r="AM255" s="1006">
        <v>100</v>
      </c>
      <c r="AN255" s="1009">
        <f t="shared" si="24"/>
        <v>100</v>
      </c>
    </row>
    <row r="256" spans="1:40" ht="150" x14ac:dyDescent="0.25">
      <c r="A256" s="1249"/>
      <c r="B256" s="1249"/>
      <c r="C256" s="1249"/>
      <c r="D256" s="1249"/>
      <c r="E256" s="1249"/>
      <c r="F256" s="1249"/>
      <c r="G256" s="1252"/>
      <c r="H256" s="1249"/>
      <c r="I256" s="1006">
        <v>5</v>
      </c>
      <c r="J256" s="1006" t="s">
        <v>1564</v>
      </c>
      <c r="K256" s="1006" t="s">
        <v>1566</v>
      </c>
      <c r="L256" s="1006" t="s">
        <v>1571</v>
      </c>
      <c r="M256" s="1007">
        <v>9900000</v>
      </c>
      <c r="N256" s="1006" t="s">
        <v>329</v>
      </c>
      <c r="O256" s="1008">
        <v>41570</v>
      </c>
      <c r="P256" s="1008">
        <v>41639</v>
      </c>
      <c r="Q256" s="1008">
        <v>41639</v>
      </c>
      <c r="R256" s="1006" t="s">
        <v>1583</v>
      </c>
      <c r="S256" s="1007">
        <v>13200000</v>
      </c>
      <c r="T256" s="1006" t="s">
        <v>1585</v>
      </c>
      <c r="U256" s="1007">
        <v>9900000</v>
      </c>
      <c r="V256" s="1006"/>
      <c r="W256" s="1007">
        <v>3960000</v>
      </c>
      <c r="X256" s="1007">
        <v>3960000</v>
      </c>
      <c r="Y256" s="1007">
        <v>1980000</v>
      </c>
      <c r="Z256" s="1007"/>
      <c r="AA256" s="1007"/>
      <c r="AB256" s="1007"/>
      <c r="AC256" s="1007"/>
      <c r="AD256" s="1007"/>
      <c r="AE256" s="1007"/>
      <c r="AF256" s="1007"/>
      <c r="AG256" s="1007">
        <f t="shared" si="23"/>
        <v>9900000</v>
      </c>
      <c r="AH256" s="1006" t="s">
        <v>237</v>
      </c>
      <c r="AI256" s="1006" t="s">
        <v>1587</v>
      </c>
      <c r="AJ256" s="1006"/>
      <c r="AK256" s="1006" t="s">
        <v>1736</v>
      </c>
      <c r="AL256" s="1006" t="s">
        <v>1736</v>
      </c>
      <c r="AM256" s="1006">
        <v>100</v>
      </c>
      <c r="AN256" s="1009">
        <f t="shared" si="24"/>
        <v>100</v>
      </c>
    </row>
    <row r="257" spans="1:40" ht="150" x14ac:dyDescent="0.25">
      <c r="A257" s="1250"/>
      <c r="B257" s="1250"/>
      <c r="C257" s="1250"/>
      <c r="D257" s="1250"/>
      <c r="E257" s="1250"/>
      <c r="F257" s="1250"/>
      <c r="G257" s="1253"/>
      <c r="H257" s="1250"/>
      <c r="I257" s="1006">
        <v>6</v>
      </c>
      <c r="J257" s="1006" t="s">
        <v>1565</v>
      </c>
      <c r="K257" s="1006" t="s">
        <v>1567</v>
      </c>
      <c r="L257" s="1006" t="s">
        <v>1578</v>
      </c>
      <c r="M257" s="1007">
        <v>6000000</v>
      </c>
      <c r="N257" s="1006" t="s">
        <v>1572</v>
      </c>
      <c r="O257" s="1008">
        <v>41584</v>
      </c>
      <c r="P257" s="1008">
        <v>41639</v>
      </c>
      <c r="Q257" s="1008">
        <v>41639</v>
      </c>
      <c r="R257" s="1006" t="s">
        <v>1584</v>
      </c>
      <c r="S257" s="1007">
        <v>6000000</v>
      </c>
      <c r="T257" s="1006" t="s">
        <v>1586</v>
      </c>
      <c r="U257" s="1007">
        <v>6000000</v>
      </c>
      <c r="V257" s="1006"/>
      <c r="W257" s="1007">
        <v>3000000</v>
      </c>
      <c r="X257" s="1007">
        <v>3000000</v>
      </c>
      <c r="Y257" s="1007"/>
      <c r="Z257" s="1007"/>
      <c r="AA257" s="1007"/>
      <c r="AB257" s="1007"/>
      <c r="AC257" s="1007"/>
      <c r="AD257" s="1007"/>
      <c r="AE257" s="1007"/>
      <c r="AF257" s="1007"/>
      <c r="AG257" s="1007">
        <f>SUM(V257:AF257)</f>
        <v>6000000</v>
      </c>
      <c r="AH257" s="1006" t="s">
        <v>237</v>
      </c>
      <c r="AI257" s="1006" t="s">
        <v>1587</v>
      </c>
      <c r="AJ257" s="1006"/>
      <c r="AK257" s="1006" t="s">
        <v>1739</v>
      </c>
      <c r="AL257" s="1006" t="s">
        <v>1740</v>
      </c>
      <c r="AM257" s="1006">
        <v>100</v>
      </c>
      <c r="AN257" s="1009">
        <f t="shared" si="24"/>
        <v>100</v>
      </c>
    </row>
    <row r="258" spans="1:40" x14ac:dyDescent="0.25">
      <c r="A258" s="1010"/>
      <c r="B258" s="1010"/>
      <c r="C258" s="1010"/>
      <c r="D258" s="1010"/>
      <c r="E258" s="1010"/>
      <c r="F258" s="1010"/>
      <c r="G258" s="1010"/>
      <c r="H258" s="1010"/>
      <c r="I258" s="1010"/>
      <c r="J258" s="1010"/>
      <c r="K258" s="1010"/>
      <c r="L258" s="1010"/>
      <c r="M258" s="1011">
        <f>SUM(M252:M257)</f>
        <v>52800000</v>
      </c>
      <c r="N258" s="1010"/>
      <c r="O258" s="1010"/>
      <c r="P258" s="1010"/>
      <c r="Q258" s="1010"/>
      <c r="R258" s="1010"/>
      <c r="S258" s="1010"/>
      <c r="T258" s="1010"/>
      <c r="U258" s="1011">
        <f>SUM(U252:U257)</f>
        <v>52800000</v>
      </c>
      <c r="V258" s="1010"/>
      <c r="W258" s="1011"/>
      <c r="X258" s="1011"/>
      <c r="Y258" s="1011"/>
      <c r="Z258" s="1011"/>
      <c r="AA258" s="1011"/>
      <c r="AB258" s="1011"/>
      <c r="AC258" s="1011"/>
      <c r="AD258" s="1011"/>
      <c r="AE258" s="1011"/>
      <c r="AF258" s="1011"/>
      <c r="AG258" s="1011">
        <f>SUM(AG252:AG257)</f>
        <v>52800000</v>
      </c>
      <c r="AH258" s="1010"/>
      <c r="AI258" s="1010"/>
      <c r="AJ258" s="1010"/>
      <c r="AK258" s="1010"/>
      <c r="AL258" s="1010"/>
      <c r="AM258" s="1010">
        <f>SUM(AM252:AM257)/6</f>
        <v>100</v>
      </c>
      <c r="AN258" s="1012">
        <f>SUM(AN252:AN257)/6</f>
        <v>100</v>
      </c>
    </row>
    <row r="259" spans="1:40" ht="75" x14ac:dyDescent="0.25">
      <c r="A259" s="1161">
        <v>56</v>
      </c>
      <c r="B259" s="1113" t="s">
        <v>386</v>
      </c>
      <c r="C259" s="1113" t="s">
        <v>1792</v>
      </c>
      <c r="D259" s="1161">
        <v>2013</v>
      </c>
      <c r="E259" s="1113" t="s">
        <v>1771</v>
      </c>
      <c r="F259" s="1258" t="s">
        <v>1697</v>
      </c>
      <c r="G259" s="1261">
        <v>140800000</v>
      </c>
      <c r="H259" s="1113" t="s">
        <v>1772</v>
      </c>
      <c r="I259" s="1013">
        <v>1</v>
      </c>
      <c r="J259" s="579" t="s">
        <v>1776</v>
      </c>
      <c r="K259" s="579" t="s">
        <v>1788</v>
      </c>
      <c r="L259" s="579" t="s">
        <v>1790</v>
      </c>
      <c r="M259" s="1014">
        <v>18000000</v>
      </c>
      <c r="N259" s="579" t="s">
        <v>342</v>
      </c>
      <c r="O259" s="25">
        <v>41463</v>
      </c>
      <c r="P259" s="25">
        <v>41639</v>
      </c>
      <c r="Q259" s="25">
        <v>41639</v>
      </c>
      <c r="R259" s="579" t="s">
        <v>1778</v>
      </c>
      <c r="S259" s="1014">
        <v>18000000</v>
      </c>
      <c r="T259" s="579" t="s">
        <v>1781</v>
      </c>
      <c r="U259" s="1014">
        <v>18000000</v>
      </c>
      <c r="V259" s="579"/>
      <c r="W259" s="580">
        <v>3000000</v>
      </c>
      <c r="X259" s="580">
        <v>3000000</v>
      </c>
      <c r="Y259" s="580">
        <v>3000000</v>
      </c>
      <c r="Z259" s="580">
        <v>3000000</v>
      </c>
      <c r="AA259" s="580">
        <v>3000000</v>
      </c>
      <c r="AB259" s="580">
        <v>3000000</v>
      </c>
      <c r="AC259" s="580"/>
      <c r="AD259" s="580"/>
      <c r="AE259" s="580"/>
      <c r="AF259" s="580"/>
      <c r="AG259" s="580">
        <f t="shared" ref="AG259:AG267" si="25">SUM(V259:AF259)</f>
        <v>18000000</v>
      </c>
      <c r="AH259" s="579" t="s">
        <v>237</v>
      </c>
      <c r="AI259" s="579" t="s">
        <v>1787</v>
      </c>
      <c r="AJ259" s="579"/>
      <c r="AK259" s="579"/>
      <c r="AL259" s="579"/>
      <c r="AM259" s="579">
        <v>100</v>
      </c>
      <c r="AN259" s="579">
        <v>100</v>
      </c>
    </row>
    <row r="260" spans="1:40" ht="75" x14ac:dyDescent="0.25">
      <c r="A260" s="1157"/>
      <c r="B260" s="1114"/>
      <c r="C260" s="1114"/>
      <c r="D260" s="1157"/>
      <c r="E260" s="1114"/>
      <c r="F260" s="1259"/>
      <c r="G260" s="1262"/>
      <c r="H260" s="1114"/>
      <c r="I260" s="16">
        <v>2</v>
      </c>
      <c r="J260" s="579" t="s">
        <v>1773</v>
      </c>
      <c r="K260" s="579" t="s">
        <v>1775</v>
      </c>
      <c r="L260" s="579" t="s">
        <v>1777</v>
      </c>
      <c r="M260" s="1014">
        <v>19800000</v>
      </c>
      <c r="N260" s="579" t="s">
        <v>342</v>
      </c>
      <c r="O260" s="25">
        <v>41465</v>
      </c>
      <c r="P260" s="25">
        <v>41639</v>
      </c>
      <c r="Q260" s="25">
        <v>41639</v>
      </c>
      <c r="R260" s="1014" t="s">
        <v>1779</v>
      </c>
      <c r="S260" s="1014">
        <v>19800000</v>
      </c>
      <c r="T260" s="579" t="s">
        <v>1782</v>
      </c>
      <c r="U260" s="1014">
        <v>19800000</v>
      </c>
      <c r="V260" s="579"/>
      <c r="W260" s="580">
        <f>U260/6</f>
        <v>3300000</v>
      </c>
      <c r="X260" s="580">
        <v>3300000</v>
      </c>
      <c r="Y260" s="580">
        <v>3300000</v>
      </c>
      <c r="Z260" s="580">
        <v>3300000</v>
      </c>
      <c r="AA260" s="580">
        <v>3300000</v>
      </c>
      <c r="AB260" s="580">
        <v>3300000</v>
      </c>
      <c r="AC260" s="580"/>
      <c r="AD260" s="580"/>
      <c r="AE260" s="580"/>
      <c r="AF260" s="580"/>
      <c r="AG260" s="580">
        <f t="shared" si="25"/>
        <v>19800000</v>
      </c>
      <c r="AH260" s="579" t="s">
        <v>237</v>
      </c>
      <c r="AI260" s="579" t="s">
        <v>1784</v>
      </c>
      <c r="AJ260" s="579"/>
      <c r="AK260" s="579"/>
      <c r="AL260" s="579"/>
      <c r="AM260" s="579">
        <v>100</v>
      </c>
      <c r="AN260" s="579">
        <v>100</v>
      </c>
    </row>
    <row r="261" spans="1:40" ht="90" x14ac:dyDescent="0.25">
      <c r="A261" s="1162"/>
      <c r="B261" s="1115"/>
      <c r="C261" s="1115"/>
      <c r="D261" s="1162"/>
      <c r="E261" s="1115"/>
      <c r="F261" s="1260"/>
      <c r="G261" s="1263"/>
      <c r="H261" s="1115"/>
      <c r="I261" s="16">
        <v>3</v>
      </c>
      <c r="J261" s="579" t="s">
        <v>1774</v>
      </c>
      <c r="K261" s="579" t="s">
        <v>1786</v>
      </c>
      <c r="L261" s="579" t="s">
        <v>1789</v>
      </c>
      <c r="M261" s="1014">
        <v>12000000</v>
      </c>
      <c r="N261" s="579" t="s">
        <v>350</v>
      </c>
      <c r="O261" s="25">
        <v>41522</v>
      </c>
      <c r="P261" s="25">
        <v>41639</v>
      </c>
      <c r="Q261" s="25">
        <v>41639</v>
      </c>
      <c r="R261" s="1014" t="s">
        <v>1780</v>
      </c>
      <c r="S261" s="384">
        <v>12000000</v>
      </c>
      <c r="T261" s="579" t="s">
        <v>1783</v>
      </c>
      <c r="U261" s="1014">
        <v>12000000</v>
      </c>
      <c r="V261" s="579"/>
      <c r="W261" s="580">
        <v>3000000</v>
      </c>
      <c r="X261" s="580">
        <v>3000000</v>
      </c>
      <c r="Y261" s="580">
        <v>3000000</v>
      </c>
      <c r="Z261" s="580">
        <v>3000000</v>
      </c>
      <c r="AA261" s="580"/>
      <c r="AB261" s="580"/>
      <c r="AC261" s="580"/>
      <c r="AD261" s="580"/>
      <c r="AE261" s="580"/>
      <c r="AF261" s="580"/>
      <c r="AG261" s="580">
        <f t="shared" si="25"/>
        <v>12000000</v>
      </c>
      <c r="AH261" s="579" t="s">
        <v>237</v>
      </c>
      <c r="AI261" s="579" t="s">
        <v>1785</v>
      </c>
      <c r="AJ261" s="579"/>
      <c r="AK261" s="579"/>
      <c r="AL261" s="579"/>
      <c r="AM261" s="579">
        <v>100</v>
      </c>
      <c r="AN261" s="579">
        <v>100</v>
      </c>
    </row>
    <row r="262" spans="1:40" x14ac:dyDescent="0.25">
      <c r="A262" s="626"/>
      <c r="B262" s="624"/>
      <c r="C262" s="624"/>
      <c r="D262" s="626"/>
      <c r="E262" s="624"/>
      <c r="F262" s="1015"/>
      <c r="G262" s="1016"/>
      <c r="H262" s="624"/>
      <c r="I262" s="16"/>
      <c r="J262" s="579"/>
      <c r="K262" s="579"/>
      <c r="L262" s="579"/>
      <c r="M262" s="1014">
        <f>SUM(M259:M261)</f>
        <v>49800000</v>
      </c>
      <c r="N262" s="579"/>
      <c r="O262" s="25"/>
      <c r="P262" s="25"/>
      <c r="Q262" s="25"/>
      <c r="R262" s="1014"/>
      <c r="S262" s="384"/>
      <c r="T262" s="579"/>
      <c r="U262" s="1014">
        <f>SUM(U259:U261)</f>
        <v>49800000</v>
      </c>
      <c r="V262" s="579"/>
      <c r="W262" s="580"/>
      <c r="X262" s="580"/>
      <c r="Y262" s="580"/>
      <c r="Z262" s="580"/>
      <c r="AA262" s="580"/>
      <c r="AB262" s="580"/>
      <c r="AC262" s="580"/>
      <c r="AD262" s="580"/>
      <c r="AE262" s="580"/>
      <c r="AF262" s="580"/>
      <c r="AG262" s="580">
        <f>SUM(AG259:AG261)</f>
        <v>49800000</v>
      </c>
      <c r="AH262" s="579"/>
      <c r="AI262" s="579"/>
      <c r="AJ262" s="579"/>
      <c r="AK262" s="579"/>
      <c r="AL262" s="579"/>
      <c r="AM262" s="579">
        <v>100</v>
      </c>
      <c r="AN262" s="579">
        <v>100</v>
      </c>
    </row>
    <row r="263" spans="1:40" ht="75" x14ac:dyDescent="0.25">
      <c r="A263" s="652">
        <v>57</v>
      </c>
      <c r="B263" s="651" t="s">
        <v>386</v>
      </c>
      <c r="C263" s="651"/>
      <c r="D263" s="652"/>
      <c r="E263" s="651" t="s">
        <v>1863</v>
      </c>
      <c r="F263" s="183" t="s">
        <v>1698</v>
      </c>
      <c r="G263" s="1017">
        <v>231589000</v>
      </c>
      <c r="H263" s="651" t="s">
        <v>1862</v>
      </c>
      <c r="I263" s="649"/>
      <c r="J263" s="183"/>
      <c r="K263" s="183"/>
      <c r="L263" s="183"/>
      <c r="M263" s="1018"/>
      <c r="N263" s="183"/>
      <c r="O263" s="356"/>
      <c r="P263" s="356"/>
      <c r="Q263" s="356"/>
      <c r="R263" s="1018"/>
      <c r="S263" s="1019"/>
      <c r="T263" s="183"/>
      <c r="U263" s="1018"/>
      <c r="V263" s="183"/>
      <c r="W263" s="355"/>
      <c r="X263" s="355"/>
      <c r="Y263" s="355"/>
      <c r="Z263" s="355"/>
      <c r="AA263" s="355"/>
      <c r="AB263" s="355"/>
      <c r="AC263" s="355"/>
      <c r="AD263" s="355"/>
      <c r="AE263" s="355"/>
      <c r="AF263" s="355"/>
      <c r="AG263" s="355"/>
      <c r="AH263" s="183"/>
      <c r="AI263" s="183"/>
      <c r="AJ263" s="183" t="s">
        <v>1861</v>
      </c>
      <c r="AK263" s="183"/>
      <c r="AL263" s="183"/>
      <c r="AM263" s="183">
        <v>0</v>
      </c>
      <c r="AN263" s="183">
        <v>0</v>
      </c>
    </row>
    <row r="264" spans="1:40" ht="60" x14ac:dyDescent="0.25">
      <c r="A264" s="1264">
        <v>58</v>
      </c>
      <c r="B264" s="1265" t="s">
        <v>386</v>
      </c>
      <c r="C264" s="1265" t="s">
        <v>1792</v>
      </c>
      <c r="D264" s="1264">
        <v>2013</v>
      </c>
      <c r="E264" s="1265" t="s">
        <v>1771</v>
      </c>
      <c r="F264" s="1265" t="s">
        <v>1793</v>
      </c>
      <c r="G264" s="1266" t="s">
        <v>1822</v>
      </c>
      <c r="H264" s="1265" t="s">
        <v>1866</v>
      </c>
      <c r="I264" s="292">
        <v>1</v>
      </c>
      <c r="J264" s="293" t="s">
        <v>1797</v>
      </c>
      <c r="K264" s="293" t="s">
        <v>1794</v>
      </c>
      <c r="L264" s="293" t="s">
        <v>1805</v>
      </c>
      <c r="M264" s="294">
        <v>3000000</v>
      </c>
      <c r="N264" s="292" t="s">
        <v>1796</v>
      </c>
      <c r="O264" s="295">
        <v>41623</v>
      </c>
      <c r="P264" s="295">
        <v>41670</v>
      </c>
      <c r="Q264" s="295">
        <v>41670</v>
      </c>
      <c r="R264" s="293" t="s">
        <v>1799</v>
      </c>
      <c r="S264" s="294">
        <v>3000000</v>
      </c>
      <c r="T264" s="293" t="s">
        <v>1798</v>
      </c>
      <c r="U264" s="294">
        <v>3000000</v>
      </c>
      <c r="V264" s="292"/>
      <c r="W264" s="294">
        <v>3000000</v>
      </c>
      <c r="X264" s="294"/>
      <c r="Y264" s="294"/>
      <c r="Z264" s="294"/>
      <c r="AA264" s="294"/>
      <c r="AB264" s="294"/>
      <c r="AC264" s="294"/>
      <c r="AD264" s="294"/>
      <c r="AE264" s="294"/>
      <c r="AF264" s="294"/>
      <c r="AG264" s="954">
        <f t="shared" si="25"/>
        <v>3000000</v>
      </c>
      <c r="AH264" s="293" t="s">
        <v>237</v>
      </c>
      <c r="AI264" s="293" t="s">
        <v>1795</v>
      </c>
      <c r="AJ264" s="293"/>
      <c r="AK264" s="293" t="s">
        <v>1800</v>
      </c>
      <c r="AL264" s="293" t="s">
        <v>1800</v>
      </c>
      <c r="AM264" s="292">
        <v>100</v>
      </c>
      <c r="AN264" s="1020">
        <f>(AG264*100)/U264</f>
        <v>100</v>
      </c>
    </row>
    <row r="265" spans="1:40" ht="75" x14ac:dyDescent="0.25">
      <c r="A265" s="1264"/>
      <c r="B265" s="1265"/>
      <c r="C265" s="1265"/>
      <c r="D265" s="1264"/>
      <c r="E265" s="1265"/>
      <c r="F265" s="1265"/>
      <c r="G265" s="1266"/>
      <c r="H265" s="1265"/>
      <c r="I265" s="1004">
        <v>2</v>
      </c>
      <c r="J265" s="293" t="s">
        <v>1803</v>
      </c>
      <c r="K265" s="293" t="s">
        <v>1804</v>
      </c>
      <c r="L265" s="293" t="s">
        <v>1805</v>
      </c>
      <c r="M265" s="294">
        <v>4500000</v>
      </c>
      <c r="N265" s="292" t="s">
        <v>1796</v>
      </c>
      <c r="O265" s="295">
        <v>41593</v>
      </c>
      <c r="P265" s="295">
        <v>41639</v>
      </c>
      <c r="Q265" s="295">
        <v>41639</v>
      </c>
      <c r="R265" s="293" t="s">
        <v>1801</v>
      </c>
      <c r="S265" s="294">
        <v>4500000</v>
      </c>
      <c r="T265" s="293" t="s">
        <v>1802</v>
      </c>
      <c r="U265" s="294">
        <v>4500000</v>
      </c>
      <c r="V265" s="292"/>
      <c r="W265" s="294">
        <v>3000000</v>
      </c>
      <c r="X265" s="294">
        <v>1500000</v>
      </c>
      <c r="Y265" s="294"/>
      <c r="Z265" s="294"/>
      <c r="AA265" s="294"/>
      <c r="AB265" s="294"/>
      <c r="AC265" s="294"/>
      <c r="AD265" s="294"/>
      <c r="AE265" s="294"/>
      <c r="AF265" s="294"/>
      <c r="AG265" s="294">
        <f t="shared" si="25"/>
        <v>4500000</v>
      </c>
      <c r="AH265" s="292" t="s">
        <v>237</v>
      </c>
      <c r="AI265" s="293" t="s">
        <v>1795</v>
      </c>
      <c r="AJ265" s="293"/>
      <c r="AK265" s="293" t="s">
        <v>1806</v>
      </c>
      <c r="AL265" s="292"/>
      <c r="AM265" s="292">
        <v>100</v>
      </c>
      <c r="AN265" s="1020">
        <f t="shared" ref="AN265:AN267" si="26">(AG265*100)/U265</f>
        <v>100</v>
      </c>
    </row>
    <row r="266" spans="1:40" ht="60" x14ac:dyDescent="0.25">
      <c r="A266" s="1264"/>
      <c r="B266" s="1265"/>
      <c r="C266" s="1265"/>
      <c r="D266" s="1264"/>
      <c r="E266" s="1265"/>
      <c r="F266" s="1265"/>
      <c r="G266" s="1266"/>
      <c r="H266" s="1265"/>
      <c r="I266" s="1004">
        <v>3</v>
      </c>
      <c r="J266" s="293" t="s">
        <v>1807</v>
      </c>
      <c r="K266" s="293" t="s">
        <v>1808</v>
      </c>
      <c r="L266" s="293" t="s">
        <v>1805</v>
      </c>
      <c r="M266" s="294">
        <v>4500000</v>
      </c>
      <c r="N266" s="292" t="s">
        <v>1796</v>
      </c>
      <c r="O266" s="293" t="s">
        <v>1810</v>
      </c>
      <c r="P266" s="292"/>
      <c r="Q266" s="292"/>
      <c r="R266" s="293" t="s">
        <v>1809</v>
      </c>
      <c r="S266" s="294">
        <v>4500000</v>
      </c>
      <c r="T266" s="293" t="s">
        <v>1817</v>
      </c>
      <c r="U266" s="294">
        <v>4500000</v>
      </c>
      <c r="V266" s="292"/>
      <c r="W266" s="294">
        <v>3000000</v>
      </c>
      <c r="X266" s="294">
        <v>1500000</v>
      </c>
      <c r="Y266" s="294"/>
      <c r="Z266" s="294"/>
      <c r="AA266" s="294"/>
      <c r="AB266" s="294"/>
      <c r="AC266" s="294"/>
      <c r="AD266" s="294"/>
      <c r="AE266" s="294"/>
      <c r="AF266" s="294"/>
      <c r="AG266" s="294">
        <f t="shared" si="25"/>
        <v>4500000</v>
      </c>
      <c r="AH266" s="292" t="s">
        <v>237</v>
      </c>
      <c r="AI266" s="292"/>
      <c r="AJ266" s="293" t="s">
        <v>1811</v>
      </c>
      <c r="AK266" s="292"/>
      <c r="AL266" s="292"/>
      <c r="AM266" s="292">
        <v>100</v>
      </c>
      <c r="AN266" s="1020">
        <f t="shared" si="26"/>
        <v>100</v>
      </c>
    </row>
    <row r="267" spans="1:40" ht="60" x14ac:dyDescent="0.25">
      <c r="A267" s="1264"/>
      <c r="B267" s="1265"/>
      <c r="C267" s="1265"/>
      <c r="D267" s="1264"/>
      <c r="E267" s="1265"/>
      <c r="F267" s="1265"/>
      <c r="G267" s="1266"/>
      <c r="H267" s="1265"/>
      <c r="I267" s="1004">
        <v>4</v>
      </c>
      <c r="J267" s="293" t="s">
        <v>1815</v>
      </c>
      <c r="K267" s="293" t="s">
        <v>1812</v>
      </c>
      <c r="L267" s="293" t="s">
        <v>1805</v>
      </c>
      <c r="M267" s="294">
        <v>4500000</v>
      </c>
      <c r="N267" s="292" t="s">
        <v>1796</v>
      </c>
      <c r="O267" s="295">
        <v>41593</v>
      </c>
      <c r="P267" s="295">
        <v>41639</v>
      </c>
      <c r="Q267" s="295">
        <v>41639</v>
      </c>
      <c r="R267" s="293" t="s">
        <v>1816</v>
      </c>
      <c r="S267" s="294">
        <v>4500000</v>
      </c>
      <c r="T267" s="293" t="s">
        <v>1818</v>
      </c>
      <c r="U267" s="294">
        <v>4500000</v>
      </c>
      <c r="V267" s="292"/>
      <c r="W267" s="294">
        <v>3000000</v>
      </c>
      <c r="X267" s="294">
        <v>1500000</v>
      </c>
      <c r="Y267" s="294"/>
      <c r="Z267" s="294"/>
      <c r="AA267" s="294"/>
      <c r="AB267" s="294"/>
      <c r="AC267" s="294"/>
      <c r="AD267" s="294"/>
      <c r="AE267" s="294"/>
      <c r="AF267" s="294"/>
      <c r="AG267" s="294">
        <f t="shared" si="25"/>
        <v>4500000</v>
      </c>
      <c r="AH267" s="293" t="s">
        <v>237</v>
      </c>
      <c r="AI267" s="293" t="s">
        <v>1813</v>
      </c>
      <c r="AJ267" s="293"/>
      <c r="AK267" s="293" t="s">
        <v>1814</v>
      </c>
      <c r="AL267" s="292"/>
      <c r="AM267" s="292">
        <v>100</v>
      </c>
      <c r="AN267" s="1020">
        <f t="shared" si="26"/>
        <v>100</v>
      </c>
    </row>
    <row r="268" spans="1:40" x14ac:dyDescent="0.25">
      <c r="A268" s="1004"/>
      <c r="B268" s="1004"/>
      <c r="C268" s="1004"/>
      <c r="D268" s="1004"/>
      <c r="E268" s="1004"/>
      <c r="F268" s="1004"/>
      <c r="G268" s="1004"/>
      <c r="H268" s="1004"/>
      <c r="I268" s="1004"/>
      <c r="J268" s="1004"/>
      <c r="K268" s="1004"/>
      <c r="L268" s="1004"/>
      <c r="M268" s="1005">
        <f>SUM(M264:M267)</f>
        <v>16500000</v>
      </c>
      <c r="N268" s="1004"/>
      <c r="O268" s="1004"/>
      <c r="P268" s="1004"/>
      <c r="Q268" s="1004"/>
      <c r="R268" s="1004"/>
      <c r="S268" s="1005"/>
      <c r="T268" s="1004"/>
      <c r="U268" s="1005">
        <f>SUM(U264:U267)</f>
        <v>16500000</v>
      </c>
      <c r="V268" s="1004"/>
      <c r="W268" s="1004"/>
      <c r="X268" s="1004"/>
      <c r="Y268" s="1004"/>
      <c r="Z268" s="1004"/>
      <c r="AA268" s="1004"/>
      <c r="AB268" s="1004"/>
      <c r="AC268" s="1004"/>
      <c r="AD268" s="1004"/>
      <c r="AE268" s="1004"/>
      <c r="AF268" s="1004"/>
      <c r="AG268" s="1021">
        <f>SUM(AG264:AG267)</f>
        <v>16500000</v>
      </c>
      <c r="AH268" s="1004"/>
      <c r="AI268" s="1004"/>
      <c r="AJ268" s="1004"/>
      <c r="AK268" s="1004"/>
      <c r="AL268" s="1004"/>
      <c r="AM268" s="1004"/>
      <c r="AN268" s="1004"/>
    </row>
    <row r="269" spans="1:40" ht="90" x14ac:dyDescent="0.25">
      <c r="A269" s="1139">
        <v>59</v>
      </c>
      <c r="B269" s="1139" t="s">
        <v>386</v>
      </c>
      <c r="C269" s="1139" t="s">
        <v>1791</v>
      </c>
      <c r="D269" s="1139">
        <v>2013</v>
      </c>
      <c r="E269" s="1139" t="s">
        <v>1819</v>
      </c>
      <c r="F269" s="1139" t="s">
        <v>1820</v>
      </c>
      <c r="G269" s="1255" t="s">
        <v>1821</v>
      </c>
      <c r="H269" s="1139" t="s">
        <v>1823</v>
      </c>
      <c r="I269" s="1022">
        <v>1</v>
      </c>
      <c r="J269" s="362" t="s">
        <v>1827</v>
      </c>
      <c r="K269" s="362" t="s">
        <v>1828</v>
      </c>
      <c r="L269" s="362" t="s">
        <v>1829</v>
      </c>
      <c r="M269" s="1023">
        <v>4500000</v>
      </c>
      <c r="N269" s="362" t="s">
        <v>1796</v>
      </c>
      <c r="O269" s="1024">
        <v>41593</v>
      </c>
      <c r="P269" s="1024">
        <v>41639</v>
      </c>
      <c r="Q269" s="1024">
        <v>41639</v>
      </c>
      <c r="R269" s="362"/>
      <c r="S269" s="1023"/>
      <c r="T269" s="362" t="s">
        <v>1830</v>
      </c>
      <c r="U269" s="1023">
        <v>4500000</v>
      </c>
      <c r="V269" s="362"/>
      <c r="W269" s="1023">
        <v>1500000</v>
      </c>
      <c r="X269" s="1023">
        <v>1500000</v>
      </c>
      <c r="Y269" s="1023">
        <v>1500000</v>
      </c>
      <c r="Z269" s="1023"/>
      <c r="AA269" s="1023"/>
      <c r="AB269" s="1023"/>
      <c r="AC269" s="1023"/>
      <c r="AD269" s="1023"/>
      <c r="AE269" s="1023"/>
      <c r="AF269" s="1023"/>
      <c r="AG269" s="1023">
        <f>SUM(V269:AF269)</f>
        <v>4500000</v>
      </c>
      <c r="AH269" s="362" t="s">
        <v>237</v>
      </c>
      <c r="AI269" s="362" t="s">
        <v>1795</v>
      </c>
      <c r="AJ269" s="362" t="s">
        <v>1838</v>
      </c>
      <c r="AK269" s="362" t="s">
        <v>1831</v>
      </c>
      <c r="AL269" s="362"/>
      <c r="AM269" s="1025">
        <v>100</v>
      </c>
      <c r="AN269" s="1025">
        <f>(AG269*100)/U269</f>
        <v>100</v>
      </c>
    </row>
    <row r="270" spans="1:40" ht="90" x14ac:dyDescent="0.25">
      <c r="A270" s="1254"/>
      <c r="B270" s="1254"/>
      <c r="C270" s="1254"/>
      <c r="D270" s="1254"/>
      <c r="E270" s="1254"/>
      <c r="F270" s="1254"/>
      <c r="G270" s="1256"/>
      <c r="H270" s="1254"/>
      <c r="I270" s="1022">
        <v>2</v>
      </c>
      <c r="J270" s="362" t="s">
        <v>1833</v>
      </c>
      <c r="K270" s="362" t="s">
        <v>1834</v>
      </c>
      <c r="L270" s="362" t="s">
        <v>1835</v>
      </c>
      <c r="M270" s="1023">
        <v>4000000</v>
      </c>
      <c r="N270" s="362" t="s">
        <v>329</v>
      </c>
      <c r="O270" s="1024">
        <v>41579</v>
      </c>
      <c r="P270" s="1024">
        <v>41645</v>
      </c>
      <c r="Q270" s="1024">
        <v>41645</v>
      </c>
      <c r="R270" s="362" t="s">
        <v>1832</v>
      </c>
      <c r="S270" s="1023">
        <v>4500000</v>
      </c>
      <c r="T270" s="362" t="s">
        <v>1836</v>
      </c>
      <c r="U270" s="1023">
        <v>4000000</v>
      </c>
      <c r="V270" s="362"/>
      <c r="W270" s="1023">
        <v>2000000</v>
      </c>
      <c r="X270" s="1023">
        <v>2000000</v>
      </c>
      <c r="Y270" s="1023"/>
      <c r="Z270" s="1023"/>
      <c r="AA270" s="1023"/>
      <c r="AB270" s="1023"/>
      <c r="AC270" s="1023"/>
      <c r="AD270" s="1023"/>
      <c r="AE270" s="1023"/>
      <c r="AF270" s="1023"/>
      <c r="AG270" s="1023">
        <f t="shared" ref="AG270:AG273" si="27">SUM(V270:AF270)</f>
        <v>4000000</v>
      </c>
      <c r="AH270" s="362" t="s">
        <v>237</v>
      </c>
      <c r="AI270" s="362" t="s">
        <v>1837</v>
      </c>
      <c r="AJ270" s="362" t="s">
        <v>1839</v>
      </c>
      <c r="AK270" s="362" t="s">
        <v>1840</v>
      </c>
      <c r="AL270" s="362"/>
      <c r="AM270" s="1025">
        <v>100</v>
      </c>
      <c r="AN270" s="1025">
        <f>(AG270*100)/U270</f>
        <v>100</v>
      </c>
    </row>
    <row r="271" spans="1:40" ht="150" x14ac:dyDescent="0.25">
      <c r="A271" s="1254"/>
      <c r="B271" s="1254"/>
      <c r="C271" s="1254"/>
      <c r="D271" s="1254"/>
      <c r="E271" s="1254"/>
      <c r="F271" s="1254"/>
      <c r="G271" s="1256"/>
      <c r="H271" s="1254"/>
      <c r="I271" s="1022">
        <v>3</v>
      </c>
      <c r="J271" s="362" t="s">
        <v>1841</v>
      </c>
      <c r="K271" s="362" t="s">
        <v>1842</v>
      </c>
      <c r="L271" s="362" t="s">
        <v>1843</v>
      </c>
      <c r="M271" s="1023">
        <f>3300000+1650000</f>
        <v>4950000</v>
      </c>
      <c r="N271" s="362" t="s">
        <v>1844</v>
      </c>
      <c r="O271" s="1024">
        <v>41523</v>
      </c>
      <c r="P271" s="1024">
        <v>41552</v>
      </c>
      <c r="Q271" s="1024">
        <v>41567</v>
      </c>
      <c r="R271" s="362" t="s">
        <v>1846</v>
      </c>
      <c r="S271" s="1023">
        <f>3300000+1650000</f>
        <v>4950000</v>
      </c>
      <c r="T271" s="362" t="s">
        <v>1845</v>
      </c>
      <c r="U271" s="1023">
        <f>3300000+1650000</f>
        <v>4950000</v>
      </c>
      <c r="V271" s="362"/>
      <c r="W271" s="1023">
        <v>3300000</v>
      </c>
      <c r="X271" s="1023">
        <v>1650000</v>
      </c>
      <c r="Y271" s="1023"/>
      <c r="Z271" s="1023"/>
      <c r="AA271" s="1023"/>
      <c r="AB271" s="1023"/>
      <c r="AC271" s="1023"/>
      <c r="AD271" s="1023"/>
      <c r="AE271" s="1023"/>
      <c r="AF271" s="1023"/>
      <c r="AG271" s="1023">
        <f t="shared" si="27"/>
        <v>4950000</v>
      </c>
      <c r="AH271" s="362" t="s">
        <v>237</v>
      </c>
      <c r="AI271" s="362" t="s">
        <v>1837</v>
      </c>
      <c r="AJ271" s="362"/>
      <c r="AK271" s="362" t="s">
        <v>1852</v>
      </c>
      <c r="AL271" s="362"/>
      <c r="AM271" s="1025">
        <v>100</v>
      </c>
      <c r="AN271" s="1025">
        <f t="shared" ref="AN271:AN273" si="28">(AG271*100)/U271</f>
        <v>100</v>
      </c>
    </row>
    <row r="272" spans="1:40" ht="105" x14ac:dyDescent="0.25">
      <c r="A272" s="1254"/>
      <c r="B272" s="1254"/>
      <c r="C272" s="1254"/>
      <c r="D272" s="1254"/>
      <c r="E272" s="1254"/>
      <c r="F272" s="1254"/>
      <c r="G272" s="1256"/>
      <c r="H272" s="1254"/>
      <c r="I272" s="1022">
        <v>4</v>
      </c>
      <c r="J272" s="362" t="s">
        <v>1847</v>
      </c>
      <c r="K272" s="362" t="s">
        <v>1842</v>
      </c>
      <c r="L272" s="362" t="s">
        <v>1843</v>
      </c>
      <c r="M272" s="1023">
        <v>7260000</v>
      </c>
      <c r="N272" s="362" t="s">
        <v>1849</v>
      </c>
      <c r="O272" s="1024">
        <v>41572</v>
      </c>
      <c r="P272" s="1024">
        <v>41639</v>
      </c>
      <c r="Q272" s="1024">
        <v>41639</v>
      </c>
      <c r="R272" s="362" t="s">
        <v>1850</v>
      </c>
      <c r="S272" s="1023">
        <v>7260000</v>
      </c>
      <c r="T272" s="362" t="s">
        <v>1848</v>
      </c>
      <c r="U272" s="1023">
        <v>7260000</v>
      </c>
      <c r="V272" s="362"/>
      <c r="W272" s="1023">
        <v>3960000</v>
      </c>
      <c r="X272" s="1023">
        <v>3300000</v>
      </c>
      <c r="Y272" s="1023"/>
      <c r="Z272" s="1023"/>
      <c r="AA272" s="1023"/>
      <c r="AB272" s="1023"/>
      <c r="AC272" s="1023"/>
      <c r="AD272" s="1023"/>
      <c r="AE272" s="1023"/>
      <c r="AF272" s="1023"/>
      <c r="AG272" s="1023">
        <f t="shared" si="27"/>
        <v>7260000</v>
      </c>
      <c r="AH272" s="362" t="s">
        <v>237</v>
      </c>
      <c r="AI272" s="362" t="s">
        <v>1837</v>
      </c>
      <c r="AJ272" s="362"/>
      <c r="AK272" s="362" t="s">
        <v>1851</v>
      </c>
      <c r="AL272" s="362"/>
      <c r="AM272" s="1025">
        <v>100</v>
      </c>
      <c r="AN272" s="1025">
        <f t="shared" si="28"/>
        <v>100</v>
      </c>
    </row>
    <row r="273" spans="1:40" ht="60" x14ac:dyDescent="0.25">
      <c r="A273" s="1140"/>
      <c r="B273" s="1140"/>
      <c r="C273" s="1140"/>
      <c r="D273" s="1140"/>
      <c r="E273" s="1140"/>
      <c r="F273" s="1140"/>
      <c r="G273" s="1257"/>
      <c r="H273" s="1140"/>
      <c r="I273" s="1022">
        <v>5</v>
      </c>
      <c r="J273" s="362" t="s">
        <v>1853</v>
      </c>
      <c r="K273" s="362" t="s">
        <v>1854</v>
      </c>
      <c r="L273" s="362" t="s">
        <v>1855</v>
      </c>
      <c r="M273" s="1023">
        <v>3000000</v>
      </c>
      <c r="N273" s="362"/>
      <c r="O273" s="1024"/>
      <c r="P273" s="1024"/>
      <c r="Q273" s="1024"/>
      <c r="R273" s="362"/>
      <c r="S273" s="1023"/>
      <c r="T273" s="362" t="s">
        <v>1856</v>
      </c>
      <c r="U273" s="1023">
        <v>3000000</v>
      </c>
      <c r="V273" s="362"/>
      <c r="W273" s="1023">
        <v>3000000</v>
      </c>
      <c r="X273" s="1023"/>
      <c r="Y273" s="1023"/>
      <c r="Z273" s="1023"/>
      <c r="AA273" s="1023"/>
      <c r="AB273" s="1023"/>
      <c r="AC273" s="1023"/>
      <c r="AD273" s="1023"/>
      <c r="AE273" s="1023"/>
      <c r="AF273" s="1023"/>
      <c r="AG273" s="1023">
        <f t="shared" si="27"/>
        <v>3000000</v>
      </c>
      <c r="AH273" s="362" t="s">
        <v>237</v>
      </c>
      <c r="AI273" s="362"/>
      <c r="AJ273" s="362"/>
      <c r="AK273" s="362"/>
      <c r="AL273" s="362"/>
      <c r="AM273" s="1025">
        <v>100</v>
      </c>
      <c r="AN273" s="1025">
        <f t="shared" si="28"/>
        <v>100</v>
      </c>
    </row>
    <row r="274" spans="1:40" x14ac:dyDescent="0.25">
      <c r="A274" s="1022"/>
      <c r="B274" s="1022"/>
      <c r="C274" s="1022"/>
      <c r="D274" s="1022"/>
      <c r="E274" s="1022"/>
      <c r="F274" s="1022"/>
      <c r="G274" s="1022"/>
      <c r="H274" s="1022"/>
      <c r="I274" s="1022"/>
      <c r="J274" s="362"/>
      <c r="K274" s="362"/>
      <c r="L274" s="362"/>
      <c r="M274" s="1023">
        <f>SUM(M269:M273)</f>
        <v>23710000</v>
      </c>
      <c r="N274" s="362"/>
      <c r="O274" s="362"/>
      <c r="P274" s="362"/>
      <c r="Q274" s="362"/>
      <c r="R274" s="362"/>
      <c r="S274" s="1023"/>
      <c r="T274" s="362"/>
      <c r="U274" s="362"/>
      <c r="V274" s="362"/>
      <c r="W274" s="1023"/>
      <c r="X274" s="1023"/>
      <c r="Y274" s="1023"/>
      <c r="Z274" s="1023"/>
      <c r="AA274" s="1023"/>
      <c r="AB274" s="1023"/>
      <c r="AC274" s="1023"/>
      <c r="AD274" s="1023"/>
      <c r="AE274" s="1023"/>
      <c r="AF274" s="1023"/>
      <c r="AG274" s="1023">
        <f>SUM(AG269:AG273)</f>
        <v>23710000</v>
      </c>
      <c r="AH274" s="362"/>
      <c r="AI274" s="362"/>
      <c r="AJ274" s="362"/>
      <c r="AK274" s="362"/>
      <c r="AL274" s="362"/>
      <c r="AM274" s="1025"/>
      <c r="AN274" s="1025"/>
    </row>
    <row r="275" spans="1:40" ht="75" x14ac:dyDescent="0.25">
      <c r="A275" s="603">
        <v>60</v>
      </c>
      <c r="B275" s="105" t="s">
        <v>386</v>
      </c>
      <c r="C275" s="105" t="s">
        <v>1791</v>
      </c>
      <c r="D275" s="1026">
        <v>2013</v>
      </c>
      <c r="E275" s="571" t="s">
        <v>1705</v>
      </c>
      <c r="F275" s="571" t="s">
        <v>1701</v>
      </c>
      <c r="G275" s="1027">
        <v>901824000</v>
      </c>
      <c r="H275" s="571" t="s">
        <v>1704</v>
      </c>
      <c r="I275" s="105">
        <v>1</v>
      </c>
      <c r="J275" s="105" t="s">
        <v>1706</v>
      </c>
      <c r="K275" s="105" t="s">
        <v>1707</v>
      </c>
      <c r="L275" s="105" t="s">
        <v>1708</v>
      </c>
      <c r="M275" s="374">
        <f>510000000+253882000</f>
        <v>763882000</v>
      </c>
      <c r="N275" s="105" t="s">
        <v>335</v>
      </c>
      <c r="O275" s="709">
        <v>41449</v>
      </c>
      <c r="P275" s="105" t="s">
        <v>1709</v>
      </c>
      <c r="Q275" s="709">
        <v>41639</v>
      </c>
      <c r="R275" s="105" t="s">
        <v>1710</v>
      </c>
      <c r="S275" s="1028">
        <f>510000000+253882000</f>
        <v>763882000</v>
      </c>
      <c r="T275" s="105" t="s">
        <v>1743</v>
      </c>
      <c r="U275" s="1028">
        <f>510000000+253882000</f>
        <v>763882000</v>
      </c>
      <c r="V275" s="105"/>
      <c r="W275" s="374">
        <v>102000000</v>
      </c>
      <c r="X275" s="374">
        <v>102000000</v>
      </c>
      <c r="Y275" s="374">
        <v>102000000</v>
      </c>
      <c r="Z275" s="374">
        <v>102000000</v>
      </c>
      <c r="AA275" s="374">
        <v>102000000</v>
      </c>
      <c r="AB275" s="374">
        <v>126941000</v>
      </c>
      <c r="AC275" s="374">
        <v>126941000</v>
      </c>
      <c r="AD275" s="374"/>
      <c r="AE275" s="374"/>
      <c r="AF275" s="374"/>
      <c r="AG275" s="374">
        <f>SUM(V275:AF275)</f>
        <v>763882000</v>
      </c>
      <c r="AH275" s="105" t="s">
        <v>1744</v>
      </c>
      <c r="AI275" s="105" t="s">
        <v>1711</v>
      </c>
      <c r="AJ275" s="105" t="s">
        <v>1713</v>
      </c>
      <c r="AK275" s="105" t="s">
        <v>1712</v>
      </c>
      <c r="AL275" s="105" t="s">
        <v>1712</v>
      </c>
      <c r="AM275" s="105">
        <v>100</v>
      </c>
      <c r="AN275" s="105">
        <v>100</v>
      </c>
    </row>
  </sheetData>
  <autoFilter ref="A2:AN275"/>
  <mergeCells count="247">
    <mergeCell ref="A269:A273"/>
    <mergeCell ref="B269:B273"/>
    <mergeCell ref="C269:C273"/>
    <mergeCell ref="D269:D273"/>
    <mergeCell ref="E269:E273"/>
    <mergeCell ref="F269:F273"/>
    <mergeCell ref="G269:G273"/>
    <mergeCell ref="H269:H273"/>
    <mergeCell ref="A259:A261"/>
    <mergeCell ref="B259:B261"/>
    <mergeCell ref="C259:C261"/>
    <mergeCell ref="D259:D261"/>
    <mergeCell ref="E259:E261"/>
    <mergeCell ref="F259:F261"/>
    <mergeCell ref="G259:G261"/>
    <mergeCell ref="H259:H261"/>
    <mergeCell ref="A264:A267"/>
    <mergeCell ref="B264:B267"/>
    <mergeCell ref="C264:C267"/>
    <mergeCell ref="D264:D267"/>
    <mergeCell ref="E264:E267"/>
    <mergeCell ref="F264:F267"/>
    <mergeCell ref="G264:G267"/>
    <mergeCell ref="H264:H267"/>
    <mergeCell ref="A247:A249"/>
    <mergeCell ref="B247:B249"/>
    <mergeCell ref="C247:C249"/>
    <mergeCell ref="D247:D249"/>
    <mergeCell ref="E247:E249"/>
    <mergeCell ref="F247:F249"/>
    <mergeCell ref="G247:G249"/>
    <mergeCell ref="H247:H249"/>
    <mergeCell ref="A252:A257"/>
    <mergeCell ref="B252:B257"/>
    <mergeCell ref="C252:C257"/>
    <mergeCell ref="D252:D257"/>
    <mergeCell ref="E252:E257"/>
    <mergeCell ref="F252:F257"/>
    <mergeCell ref="G252:G257"/>
    <mergeCell ref="H252:H257"/>
    <mergeCell ref="A220:A230"/>
    <mergeCell ref="B220:B230"/>
    <mergeCell ref="C220:C230"/>
    <mergeCell ref="D220:D230"/>
    <mergeCell ref="E220:E230"/>
    <mergeCell ref="F220:F230"/>
    <mergeCell ref="G220:G230"/>
    <mergeCell ref="H220:H230"/>
    <mergeCell ref="A233:A245"/>
    <mergeCell ref="B233:B245"/>
    <mergeCell ref="C233:C245"/>
    <mergeCell ref="D233:D245"/>
    <mergeCell ref="E233:E245"/>
    <mergeCell ref="F233:F245"/>
    <mergeCell ref="G233:G245"/>
    <mergeCell ref="H233:H245"/>
    <mergeCell ref="A189:A203"/>
    <mergeCell ref="B189:B203"/>
    <mergeCell ref="C189:C203"/>
    <mergeCell ref="D189:D203"/>
    <mergeCell ref="E189:E203"/>
    <mergeCell ref="F189:F203"/>
    <mergeCell ref="G189:G203"/>
    <mergeCell ref="H189:H203"/>
    <mergeCell ref="A215:A218"/>
    <mergeCell ref="B215:B218"/>
    <mergeCell ref="C215:C218"/>
    <mergeCell ref="D215:D218"/>
    <mergeCell ref="E215:E218"/>
    <mergeCell ref="F215:F218"/>
    <mergeCell ref="G215:G218"/>
    <mergeCell ref="H215:H218"/>
    <mergeCell ref="A182:A183"/>
    <mergeCell ref="B182:B183"/>
    <mergeCell ref="C182:C183"/>
    <mergeCell ref="D182:D183"/>
    <mergeCell ref="E182:E183"/>
    <mergeCell ref="F182:F183"/>
    <mergeCell ref="G182:G183"/>
    <mergeCell ref="H182:H183"/>
    <mergeCell ref="A185:A187"/>
    <mergeCell ref="B185:B187"/>
    <mergeCell ref="C185:C187"/>
    <mergeCell ref="D185:D187"/>
    <mergeCell ref="E185:E187"/>
    <mergeCell ref="F185:F187"/>
    <mergeCell ref="G185:G187"/>
    <mergeCell ref="H185:H187"/>
    <mergeCell ref="A172:A173"/>
    <mergeCell ref="B172:B173"/>
    <mergeCell ref="C172:C173"/>
    <mergeCell ref="D172:D173"/>
    <mergeCell ref="E172:E173"/>
    <mergeCell ref="F172:F173"/>
    <mergeCell ref="G172:G173"/>
    <mergeCell ref="H172:H173"/>
    <mergeCell ref="A176:A180"/>
    <mergeCell ref="B176:B180"/>
    <mergeCell ref="C176:C180"/>
    <mergeCell ref="D176:D180"/>
    <mergeCell ref="E176:E180"/>
    <mergeCell ref="F176:F180"/>
    <mergeCell ref="G176:G180"/>
    <mergeCell ref="H176:H180"/>
    <mergeCell ref="A155:A167"/>
    <mergeCell ref="B155:B167"/>
    <mergeCell ref="C155:C167"/>
    <mergeCell ref="D155:D167"/>
    <mergeCell ref="E155:E167"/>
    <mergeCell ref="F155:F167"/>
    <mergeCell ref="G155:G167"/>
    <mergeCell ref="H155:H167"/>
    <mergeCell ref="A169:A170"/>
    <mergeCell ref="B169:B170"/>
    <mergeCell ref="C169:C170"/>
    <mergeCell ref="D169:D170"/>
    <mergeCell ref="E169:E170"/>
    <mergeCell ref="F169:F170"/>
    <mergeCell ref="G169:G170"/>
    <mergeCell ref="H169:H170"/>
    <mergeCell ref="A129:A141"/>
    <mergeCell ref="B129:B141"/>
    <mergeCell ref="C129:C141"/>
    <mergeCell ref="D129:D141"/>
    <mergeCell ref="E129:E141"/>
    <mergeCell ref="F129:F141"/>
    <mergeCell ref="G129:G141"/>
    <mergeCell ref="H129:H141"/>
    <mergeCell ref="A143:A153"/>
    <mergeCell ref="B143:B153"/>
    <mergeCell ref="C143:C153"/>
    <mergeCell ref="D143:D153"/>
    <mergeCell ref="E143:E153"/>
    <mergeCell ref="F143:F153"/>
    <mergeCell ref="G143:G153"/>
    <mergeCell ref="H143:H153"/>
    <mergeCell ref="A115:A118"/>
    <mergeCell ref="H115:H118"/>
    <mergeCell ref="G115:G118"/>
    <mergeCell ref="F115:F118"/>
    <mergeCell ref="E115:E118"/>
    <mergeCell ref="D115:D118"/>
    <mergeCell ref="C115:C118"/>
    <mergeCell ref="B115:B118"/>
    <mergeCell ref="A120:A123"/>
    <mergeCell ref="B120:B123"/>
    <mergeCell ref="C120:C123"/>
    <mergeCell ref="D120:D123"/>
    <mergeCell ref="E120:E123"/>
    <mergeCell ref="F120:F123"/>
    <mergeCell ref="G120:G123"/>
    <mergeCell ref="H120:H123"/>
    <mergeCell ref="A96:A111"/>
    <mergeCell ref="H96:H110"/>
    <mergeCell ref="G96:G110"/>
    <mergeCell ref="F96:F110"/>
    <mergeCell ref="E96:E110"/>
    <mergeCell ref="D96:D110"/>
    <mergeCell ref="C96:C110"/>
    <mergeCell ref="C81:C94"/>
    <mergeCell ref="A81:A95"/>
    <mergeCell ref="F14:F31"/>
    <mergeCell ref="F35:F36"/>
    <mergeCell ref="E35:E36"/>
    <mergeCell ref="D35:D36"/>
    <mergeCell ref="B42:B43"/>
    <mergeCell ref="F42:F43"/>
    <mergeCell ref="E42:E43"/>
    <mergeCell ref="D42:D43"/>
    <mergeCell ref="C42:C43"/>
    <mergeCell ref="F38:F39"/>
    <mergeCell ref="E38:E39"/>
    <mergeCell ref="D38:D39"/>
    <mergeCell ref="C38:C39"/>
    <mergeCell ref="B38:B39"/>
    <mergeCell ref="AK1:AN1"/>
    <mergeCell ref="G3:G12"/>
    <mergeCell ref="H3:H12"/>
    <mergeCell ref="G14:G31"/>
    <mergeCell ref="H14:H31"/>
    <mergeCell ref="AK3:AK12"/>
    <mergeCell ref="AL3:AL12"/>
    <mergeCell ref="A3:A13"/>
    <mergeCell ref="A14:A32"/>
    <mergeCell ref="A1:A2"/>
    <mergeCell ref="AK14:AK31"/>
    <mergeCell ref="AL14:AL31"/>
    <mergeCell ref="E14:E31"/>
    <mergeCell ref="D14:D31"/>
    <mergeCell ref="C14:C31"/>
    <mergeCell ref="B14:B31"/>
    <mergeCell ref="B1:E1"/>
    <mergeCell ref="I1:AJ1"/>
    <mergeCell ref="F1:H1"/>
    <mergeCell ref="F3:F12"/>
    <mergeCell ref="E3:E12"/>
    <mergeCell ref="C3:C12"/>
    <mergeCell ref="D3:D12"/>
    <mergeCell ref="B3:B12"/>
    <mergeCell ref="A35:A37"/>
    <mergeCell ref="A38:A40"/>
    <mergeCell ref="A42:A44"/>
    <mergeCell ref="AL35:AL36"/>
    <mergeCell ref="AK50:AK74"/>
    <mergeCell ref="AL50:AL74"/>
    <mergeCell ref="G38:G39"/>
    <mergeCell ref="H38:H39"/>
    <mergeCell ref="G35:G36"/>
    <mergeCell ref="H35:H36"/>
    <mergeCell ref="H42:H43"/>
    <mergeCell ref="G42:G43"/>
    <mergeCell ref="AK38:AK39"/>
    <mergeCell ref="AL38:AL39"/>
    <mergeCell ref="AK42:AK43"/>
    <mergeCell ref="AL42:AL43"/>
    <mergeCell ref="AK35:AK36"/>
    <mergeCell ref="C35:C36"/>
    <mergeCell ref="B35:B36"/>
    <mergeCell ref="B50:B74"/>
    <mergeCell ref="F50:F74"/>
    <mergeCell ref="G50:G74"/>
    <mergeCell ref="H50:H74"/>
    <mergeCell ref="E50:E74"/>
    <mergeCell ref="A50:A75"/>
    <mergeCell ref="A77:A79"/>
    <mergeCell ref="AK77:AK78"/>
    <mergeCell ref="AL77:AL78"/>
    <mergeCell ref="AK81:AK94"/>
    <mergeCell ref="AL81:AL94"/>
    <mergeCell ref="AK96:AK110"/>
    <mergeCell ref="AL96:AL110"/>
    <mergeCell ref="C77:C78"/>
    <mergeCell ref="B77:B78"/>
    <mergeCell ref="F77:F78"/>
    <mergeCell ref="G77:G78"/>
    <mergeCell ref="H77:H78"/>
    <mergeCell ref="E77:E78"/>
    <mergeCell ref="D77:D78"/>
    <mergeCell ref="C50:C74"/>
    <mergeCell ref="D50:D74"/>
    <mergeCell ref="B81:B94"/>
    <mergeCell ref="H81:H94"/>
    <mergeCell ref="G81:G94"/>
    <mergeCell ref="F81:F94"/>
    <mergeCell ref="D81:D94"/>
    <mergeCell ref="E81:E94"/>
    <mergeCell ref="B96:B110"/>
  </mergeCells>
  <pageMargins left="0.7" right="0.7" top="0.75" bottom="0.75" header="0.3" footer="0.3"/>
  <pageSetup orientation="portrait"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N40"/>
  <sheetViews>
    <sheetView zoomScale="90" zoomScaleNormal="90" workbookViewId="0">
      <selection activeCell="A4" sqref="A4:AN40"/>
    </sheetView>
  </sheetViews>
  <sheetFormatPr baseColWidth="10" defaultRowHeight="15" x14ac:dyDescent="0.25"/>
  <cols>
    <col min="2" max="2" width="16.7109375" customWidth="1"/>
    <col min="3" max="3" width="16.140625" customWidth="1"/>
    <col min="5" max="5" width="40" customWidth="1"/>
    <col min="6" max="6" width="36.7109375" customWidth="1"/>
    <col min="7" max="7" width="18" customWidth="1"/>
    <col min="8" max="8" width="20.85546875" customWidth="1"/>
    <col min="10" max="10" width="14.7109375" customWidth="1"/>
    <col min="11" max="11" width="25" customWidth="1"/>
    <col min="12" max="12" width="54.5703125" customWidth="1"/>
    <col min="13" max="13" width="16.7109375" customWidth="1"/>
    <col min="15" max="15" width="11.5703125" bestFit="1" customWidth="1"/>
    <col min="16" max="16" width="14.42578125" customWidth="1"/>
    <col min="19" max="19" width="17.28515625" bestFit="1" customWidth="1"/>
    <col min="21" max="22" width="15.5703125" bestFit="1" customWidth="1"/>
    <col min="23" max="23" width="14.42578125" customWidth="1"/>
    <col min="24" max="24" width="13" customWidth="1"/>
    <col min="25" max="25" width="12.5703125" customWidth="1"/>
    <col min="26" max="26" width="12.28515625" customWidth="1"/>
    <col min="27" max="27" width="13.140625" customWidth="1"/>
    <col min="28" max="28" width="12.28515625" customWidth="1"/>
    <col min="33" max="33" width="15.5703125" customWidth="1"/>
    <col min="35" max="35" width="20.28515625" customWidth="1"/>
    <col min="36" max="36" width="35.85546875" customWidth="1"/>
    <col min="37" max="37" width="76" customWidth="1"/>
    <col min="38" max="38" width="52.5703125" customWidth="1"/>
    <col min="40" max="40" width="12.85546875" customWidth="1"/>
  </cols>
  <sheetData>
    <row r="2" spans="1:40" ht="15.75" x14ac:dyDescent="0.25">
      <c r="A2" s="1035" t="s">
        <v>721</v>
      </c>
      <c r="B2" s="1036" t="s">
        <v>79</v>
      </c>
      <c r="C2" s="1036"/>
      <c r="D2" s="1036"/>
      <c r="E2" s="1036"/>
      <c r="F2" s="1036" t="s">
        <v>80</v>
      </c>
      <c r="G2" s="1036"/>
      <c r="H2" s="1036"/>
      <c r="I2" s="1036" t="s">
        <v>81</v>
      </c>
      <c r="J2" s="1036"/>
      <c r="K2" s="1036"/>
      <c r="L2" s="1036"/>
      <c r="M2" s="1036"/>
      <c r="N2" s="1036"/>
      <c r="O2" s="1036"/>
      <c r="P2" s="1036"/>
      <c r="Q2" s="1036"/>
      <c r="R2" s="1036"/>
      <c r="S2" s="1036"/>
      <c r="T2" s="1036"/>
      <c r="U2" s="1036"/>
      <c r="V2" s="1036"/>
      <c r="W2" s="1036"/>
      <c r="X2" s="1036"/>
      <c r="Y2" s="1036"/>
      <c r="Z2" s="1036"/>
      <c r="AA2" s="1036"/>
      <c r="AB2" s="1036"/>
      <c r="AC2" s="1036"/>
      <c r="AD2" s="1036"/>
      <c r="AE2" s="1036"/>
      <c r="AF2" s="1036"/>
      <c r="AG2" s="1036"/>
      <c r="AH2" s="1036"/>
      <c r="AI2" s="1036"/>
      <c r="AJ2" s="1036"/>
      <c r="AK2" s="1036" t="s">
        <v>80</v>
      </c>
      <c r="AL2" s="1036"/>
      <c r="AM2" s="1036"/>
      <c r="AN2" s="1036"/>
    </row>
    <row r="3" spans="1:40" ht="38.25" x14ac:dyDescent="0.25">
      <c r="A3" s="1035"/>
      <c r="B3" s="267" t="s">
        <v>0</v>
      </c>
      <c r="C3" s="267" t="s">
        <v>6</v>
      </c>
      <c r="D3" s="267" t="s">
        <v>1</v>
      </c>
      <c r="E3" s="267" t="s">
        <v>2</v>
      </c>
      <c r="F3" s="267" t="s">
        <v>3</v>
      </c>
      <c r="G3" s="290" t="s">
        <v>4</v>
      </c>
      <c r="H3" s="267" t="s">
        <v>5</v>
      </c>
      <c r="I3" s="291" t="s">
        <v>721</v>
      </c>
      <c r="J3" s="267" t="s">
        <v>7</v>
      </c>
      <c r="K3" s="267" t="s">
        <v>8</v>
      </c>
      <c r="L3" s="267" t="s">
        <v>9</v>
      </c>
      <c r="M3" s="268" t="s">
        <v>11</v>
      </c>
      <c r="N3" s="267" t="s">
        <v>10</v>
      </c>
      <c r="O3" s="267" t="s">
        <v>12</v>
      </c>
      <c r="P3" s="267" t="s">
        <v>13</v>
      </c>
      <c r="Q3" s="267" t="s">
        <v>14</v>
      </c>
      <c r="R3" s="267" t="s">
        <v>15</v>
      </c>
      <c r="S3" s="268" t="s">
        <v>28</v>
      </c>
      <c r="T3" s="267" t="s">
        <v>16</v>
      </c>
      <c r="U3" s="269" t="s">
        <v>133</v>
      </c>
      <c r="V3" s="268" t="s">
        <v>263</v>
      </c>
      <c r="W3" s="268" t="s">
        <v>17</v>
      </c>
      <c r="X3" s="268" t="s">
        <v>18</v>
      </c>
      <c r="Y3" s="268" t="s">
        <v>280</v>
      </c>
      <c r="Z3" s="268" t="s">
        <v>281</v>
      </c>
      <c r="AA3" s="268" t="s">
        <v>282</v>
      </c>
      <c r="AB3" s="268" t="s">
        <v>283</v>
      </c>
      <c r="AC3" s="268" t="s">
        <v>284</v>
      </c>
      <c r="AD3" s="268" t="s">
        <v>285</v>
      </c>
      <c r="AE3" s="268" t="s">
        <v>286</v>
      </c>
      <c r="AF3" s="268" t="s">
        <v>287</v>
      </c>
      <c r="AG3" s="268" t="s">
        <v>19</v>
      </c>
      <c r="AH3" s="267" t="s">
        <v>20</v>
      </c>
      <c r="AI3" s="267" t="s">
        <v>21</v>
      </c>
      <c r="AJ3" s="267" t="s">
        <v>22</v>
      </c>
      <c r="AK3" s="267" t="s">
        <v>23</v>
      </c>
      <c r="AL3" s="267" t="s">
        <v>24</v>
      </c>
      <c r="AM3" s="270" t="s">
        <v>33</v>
      </c>
      <c r="AN3" s="270" t="s">
        <v>32</v>
      </c>
    </row>
    <row r="4" spans="1:40" ht="114.75" customHeight="1" x14ac:dyDescent="0.25">
      <c r="A4" s="1270">
        <v>1</v>
      </c>
      <c r="B4" s="1270" t="s">
        <v>390</v>
      </c>
      <c r="C4" s="1267" t="s">
        <v>1555</v>
      </c>
      <c r="D4" s="1270">
        <v>2013</v>
      </c>
      <c r="E4" s="1267" t="s">
        <v>1408</v>
      </c>
      <c r="F4" s="1267" t="s">
        <v>1409</v>
      </c>
      <c r="G4" s="1277">
        <v>69400000</v>
      </c>
      <c r="H4" s="1267" t="s">
        <v>1407</v>
      </c>
      <c r="I4" s="292">
        <v>1</v>
      </c>
      <c r="J4" s="293" t="s">
        <v>1410</v>
      </c>
      <c r="K4" s="293" t="s">
        <v>1413</v>
      </c>
      <c r="L4" s="293" t="s">
        <v>1417</v>
      </c>
      <c r="M4" s="294">
        <v>15000000</v>
      </c>
      <c r="N4" s="292" t="s">
        <v>457</v>
      </c>
      <c r="O4" s="295">
        <v>41430</v>
      </c>
      <c r="P4" s="295">
        <v>41583</v>
      </c>
      <c r="Q4" s="295">
        <v>41583</v>
      </c>
      <c r="R4" s="293" t="s">
        <v>1418</v>
      </c>
      <c r="S4" s="294">
        <v>15000000</v>
      </c>
      <c r="T4" s="293" t="s">
        <v>1419</v>
      </c>
      <c r="U4" s="294">
        <v>15000000</v>
      </c>
      <c r="V4" s="294"/>
      <c r="W4" s="294">
        <v>3000000</v>
      </c>
      <c r="X4" s="294">
        <v>3000000</v>
      </c>
      <c r="Y4" s="294">
        <v>3000000</v>
      </c>
      <c r="Z4" s="294">
        <v>3000000</v>
      </c>
      <c r="AA4" s="294">
        <v>3000000</v>
      </c>
      <c r="AB4" s="294"/>
      <c r="AC4" s="294"/>
      <c r="AD4" s="294"/>
      <c r="AE4" s="294"/>
      <c r="AF4" s="294"/>
      <c r="AG4" s="294">
        <f>SUM(V4:AF4)</f>
        <v>15000000</v>
      </c>
      <c r="AH4" s="292" t="s">
        <v>237</v>
      </c>
      <c r="AI4" s="292"/>
      <c r="AJ4" s="292"/>
      <c r="AK4" s="293" t="s">
        <v>1716</v>
      </c>
      <c r="AL4" s="293" t="s">
        <v>1717</v>
      </c>
      <c r="AM4" s="292">
        <v>100</v>
      </c>
      <c r="AN4" s="296">
        <f>(AG4*100)/U4</f>
        <v>100</v>
      </c>
    </row>
    <row r="5" spans="1:40" ht="105" x14ac:dyDescent="0.25">
      <c r="A5" s="1271"/>
      <c r="B5" s="1271"/>
      <c r="C5" s="1268"/>
      <c r="D5" s="1271"/>
      <c r="E5" s="1268"/>
      <c r="F5" s="1268"/>
      <c r="G5" s="1278"/>
      <c r="H5" s="1268"/>
      <c r="I5" s="292">
        <v>2</v>
      </c>
      <c r="J5" s="293" t="s">
        <v>1411</v>
      </c>
      <c r="K5" s="293" t="s">
        <v>1414</v>
      </c>
      <c r="L5" s="293" t="s">
        <v>1718</v>
      </c>
      <c r="M5" s="294">
        <v>12500000</v>
      </c>
      <c r="N5" s="292" t="s">
        <v>457</v>
      </c>
      <c r="O5" s="295">
        <v>41430</v>
      </c>
      <c r="P5" s="295">
        <v>41583</v>
      </c>
      <c r="Q5" s="295">
        <v>41583</v>
      </c>
      <c r="R5" s="293" t="s">
        <v>1422</v>
      </c>
      <c r="S5" s="294">
        <v>12500000</v>
      </c>
      <c r="T5" s="293" t="s">
        <v>1423</v>
      </c>
      <c r="U5" s="294">
        <v>12500000</v>
      </c>
      <c r="V5" s="294"/>
      <c r="W5" s="294">
        <v>2500000</v>
      </c>
      <c r="X5" s="294">
        <v>2500000</v>
      </c>
      <c r="Y5" s="294">
        <v>2500000</v>
      </c>
      <c r="Z5" s="294">
        <v>2500000</v>
      </c>
      <c r="AA5" s="294">
        <v>2500000</v>
      </c>
      <c r="AB5" s="294"/>
      <c r="AC5" s="294"/>
      <c r="AD5" s="294"/>
      <c r="AE5" s="294"/>
      <c r="AF5" s="294"/>
      <c r="AG5" s="294">
        <f t="shared" ref="AG5:AG40" si="0">SUM(V5:AF5)</f>
        <v>12500000</v>
      </c>
      <c r="AH5" s="292" t="s">
        <v>237</v>
      </c>
      <c r="AI5" s="292"/>
      <c r="AJ5" s="292"/>
      <c r="AK5" s="293" t="s">
        <v>1719</v>
      </c>
      <c r="AL5" s="293" t="s">
        <v>1720</v>
      </c>
      <c r="AM5" s="292">
        <v>100</v>
      </c>
      <c r="AN5" s="296">
        <f t="shared" ref="AN5:AN37" si="1">(AG5*100)/U5</f>
        <v>100</v>
      </c>
    </row>
    <row r="6" spans="1:40" ht="105" x14ac:dyDescent="0.25">
      <c r="A6" s="1271"/>
      <c r="B6" s="1271"/>
      <c r="C6" s="1268"/>
      <c r="D6" s="1271"/>
      <c r="E6" s="1268"/>
      <c r="F6" s="1268"/>
      <c r="G6" s="1278"/>
      <c r="H6" s="1268"/>
      <c r="I6" s="292">
        <v>3</v>
      </c>
      <c r="J6" s="293" t="s">
        <v>1412</v>
      </c>
      <c r="K6" s="293" t="s">
        <v>1415</v>
      </c>
      <c r="L6" s="293" t="s">
        <v>1724</v>
      </c>
      <c r="M6" s="294">
        <v>12500000</v>
      </c>
      <c r="N6" s="292" t="s">
        <v>457</v>
      </c>
      <c r="O6" s="295">
        <v>41438</v>
      </c>
      <c r="P6" s="295">
        <v>41592</v>
      </c>
      <c r="Q6" s="295">
        <v>41592</v>
      </c>
      <c r="R6" s="293" t="s">
        <v>1424</v>
      </c>
      <c r="S6" s="294">
        <v>12500000</v>
      </c>
      <c r="T6" s="293" t="s">
        <v>1425</v>
      </c>
      <c r="U6" s="294">
        <v>12500000</v>
      </c>
      <c r="V6" s="294"/>
      <c r="W6" s="294">
        <v>2500000</v>
      </c>
      <c r="X6" s="294">
        <v>2500000</v>
      </c>
      <c r="Y6" s="294">
        <v>2500000</v>
      </c>
      <c r="Z6" s="294">
        <v>2500000</v>
      </c>
      <c r="AA6" s="294">
        <v>2500000</v>
      </c>
      <c r="AB6" s="294"/>
      <c r="AC6" s="294"/>
      <c r="AD6" s="294"/>
      <c r="AE6" s="294"/>
      <c r="AF6" s="294"/>
      <c r="AG6" s="294">
        <f t="shared" si="0"/>
        <v>12500000</v>
      </c>
      <c r="AH6" s="292" t="s">
        <v>237</v>
      </c>
      <c r="AI6" s="292"/>
      <c r="AJ6" s="292"/>
      <c r="AK6" s="293" t="s">
        <v>1721</v>
      </c>
      <c r="AL6" s="293" t="s">
        <v>1722</v>
      </c>
      <c r="AM6" s="292">
        <v>100</v>
      </c>
      <c r="AN6" s="296">
        <f t="shared" si="1"/>
        <v>100</v>
      </c>
    </row>
    <row r="7" spans="1:40" ht="105" x14ac:dyDescent="0.25">
      <c r="A7" s="1272"/>
      <c r="B7" s="1272"/>
      <c r="C7" s="1269"/>
      <c r="D7" s="1272"/>
      <c r="E7" s="1269"/>
      <c r="F7" s="1269"/>
      <c r="G7" s="1279"/>
      <c r="H7" s="1269"/>
      <c r="I7" s="292">
        <v>4</v>
      </c>
      <c r="J7" s="293" t="s">
        <v>1430</v>
      </c>
      <c r="K7" s="293" t="s">
        <v>1416</v>
      </c>
      <c r="L7" s="293" t="s">
        <v>1420</v>
      </c>
      <c r="M7" s="294">
        <v>29400000</v>
      </c>
      <c r="N7" s="292" t="s">
        <v>1421</v>
      </c>
      <c r="O7" s="295">
        <v>41456</v>
      </c>
      <c r="P7" s="295">
        <v>41475</v>
      </c>
      <c r="Q7" s="295">
        <v>41475</v>
      </c>
      <c r="R7" s="293" t="s">
        <v>1426</v>
      </c>
      <c r="S7" s="294">
        <v>29400000</v>
      </c>
      <c r="T7" s="293" t="s">
        <v>1427</v>
      </c>
      <c r="U7" s="294">
        <v>29400000</v>
      </c>
      <c r="V7" s="294"/>
      <c r="W7" s="294">
        <v>14700000</v>
      </c>
      <c r="X7" s="294">
        <v>14700000</v>
      </c>
      <c r="Y7" s="294"/>
      <c r="Z7" s="294"/>
      <c r="AA7" s="294"/>
      <c r="AB7" s="294"/>
      <c r="AC7" s="294"/>
      <c r="AD7" s="294"/>
      <c r="AE7" s="294"/>
      <c r="AF7" s="294"/>
      <c r="AG7" s="294">
        <f t="shared" si="0"/>
        <v>29400000</v>
      </c>
      <c r="AH7" s="292" t="s">
        <v>237</v>
      </c>
      <c r="AI7" s="292"/>
      <c r="AJ7" s="292"/>
      <c r="AK7" s="293" t="s">
        <v>1420</v>
      </c>
      <c r="AL7" s="293" t="s">
        <v>1723</v>
      </c>
      <c r="AM7" s="292">
        <v>100</v>
      </c>
      <c r="AN7" s="296">
        <f t="shared" si="1"/>
        <v>100</v>
      </c>
    </row>
    <row r="8" spans="1:40" x14ac:dyDescent="0.25">
      <c r="A8" s="2"/>
      <c r="B8" s="2"/>
      <c r="C8" s="292"/>
      <c r="D8" s="297"/>
      <c r="E8" s="297"/>
      <c r="F8" s="297"/>
      <c r="G8" s="297"/>
      <c r="H8" s="297"/>
      <c r="I8" s="297"/>
      <c r="J8" s="292"/>
      <c r="K8" s="292"/>
      <c r="L8" s="293"/>
      <c r="M8" s="294">
        <f>SUM(M4:M7)</f>
        <v>69400000</v>
      </c>
      <c r="N8" s="292"/>
      <c r="O8" s="292"/>
      <c r="P8" s="292"/>
      <c r="Q8" s="292"/>
      <c r="R8" s="292"/>
      <c r="S8" s="294"/>
      <c r="T8" s="292"/>
      <c r="U8" s="294">
        <f>SUM(U4:U7)</f>
        <v>69400000</v>
      </c>
      <c r="V8" s="294"/>
      <c r="W8" s="294"/>
      <c r="X8" s="294"/>
      <c r="Y8" s="294"/>
      <c r="Z8" s="294"/>
      <c r="AA8" s="294"/>
      <c r="AB8" s="294"/>
      <c r="AC8" s="294"/>
      <c r="AD8" s="294"/>
      <c r="AE8" s="294"/>
      <c r="AF8" s="294"/>
      <c r="AG8" s="294">
        <f>SUM(AG4:AG7)</f>
        <v>69400000</v>
      </c>
      <c r="AH8" s="292"/>
      <c r="AI8" s="292"/>
      <c r="AJ8" s="292"/>
      <c r="AK8" s="293"/>
      <c r="AL8" s="292"/>
      <c r="AM8" s="292">
        <f>SUM(AM4:AM7)/4</f>
        <v>100</v>
      </c>
      <c r="AN8" s="292">
        <f>SUM(AN4:AN7)/4</f>
        <v>100</v>
      </c>
    </row>
    <row r="9" spans="1:40" ht="150.75" customHeight="1" x14ac:dyDescent="0.25">
      <c r="A9" s="1127">
        <v>2</v>
      </c>
      <c r="B9" s="1127" t="s">
        <v>390</v>
      </c>
      <c r="C9" s="1144" t="s">
        <v>1555</v>
      </c>
      <c r="D9" s="1127">
        <v>2013</v>
      </c>
      <c r="E9" s="1144" t="s">
        <v>1428</v>
      </c>
      <c r="F9" s="1144" t="s">
        <v>1429</v>
      </c>
      <c r="G9" s="1274" t="s">
        <v>1480</v>
      </c>
      <c r="H9" s="1144" t="s">
        <v>1865</v>
      </c>
      <c r="I9" s="298">
        <v>1</v>
      </c>
      <c r="J9" s="105" t="s">
        <v>1431</v>
      </c>
      <c r="K9" s="105" t="s">
        <v>1442</v>
      </c>
      <c r="L9" s="105" t="s">
        <v>1730</v>
      </c>
      <c r="M9" s="299">
        <v>1200000</v>
      </c>
      <c r="N9" s="298" t="s">
        <v>329</v>
      </c>
      <c r="O9" s="300">
        <v>41529</v>
      </c>
      <c r="P9" s="300">
        <v>41590</v>
      </c>
      <c r="Q9" s="300">
        <v>41590</v>
      </c>
      <c r="R9" s="105" t="s">
        <v>1456</v>
      </c>
      <c r="S9" s="299">
        <v>1200000</v>
      </c>
      <c r="T9" s="105" t="s">
        <v>1457</v>
      </c>
      <c r="U9" s="299">
        <v>1200000</v>
      </c>
      <c r="V9" s="299"/>
      <c r="W9" s="299">
        <v>1200000</v>
      </c>
      <c r="X9" s="299"/>
      <c r="Y9" s="299"/>
      <c r="Z9" s="299"/>
      <c r="AA9" s="299"/>
      <c r="AB9" s="299"/>
      <c r="AC9" s="299"/>
      <c r="AD9" s="299"/>
      <c r="AE9" s="299"/>
      <c r="AF9" s="299"/>
      <c r="AG9" s="299">
        <f t="shared" si="0"/>
        <v>1200000</v>
      </c>
      <c r="AH9" s="298" t="s">
        <v>237</v>
      </c>
      <c r="AI9" s="298"/>
      <c r="AJ9" s="298"/>
      <c r="AK9" s="105" t="s">
        <v>1511</v>
      </c>
      <c r="AL9" s="298"/>
      <c r="AM9" s="298">
        <v>100</v>
      </c>
      <c r="AN9" s="301">
        <f t="shared" si="1"/>
        <v>100</v>
      </c>
    </row>
    <row r="10" spans="1:40" ht="150" x14ac:dyDescent="0.25">
      <c r="A10" s="1128"/>
      <c r="B10" s="1128"/>
      <c r="C10" s="1273"/>
      <c r="D10" s="1128"/>
      <c r="E10" s="1273"/>
      <c r="F10" s="1273"/>
      <c r="G10" s="1275"/>
      <c r="H10" s="1273"/>
      <c r="I10" s="298">
        <v>2</v>
      </c>
      <c r="J10" s="105" t="s">
        <v>1432</v>
      </c>
      <c r="K10" s="105" t="s">
        <v>1444</v>
      </c>
      <c r="L10" s="105" t="s">
        <v>1730</v>
      </c>
      <c r="M10" s="299">
        <v>1200000</v>
      </c>
      <c r="N10" s="298" t="s">
        <v>329</v>
      </c>
      <c r="O10" s="300">
        <v>41529</v>
      </c>
      <c r="P10" s="300">
        <v>41590</v>
      </c>
      <c r="Q10" s="300">
        <v>41590</v>
      </c>
      <c r="R10" s="105" t="s">
        <v>1458</v>
      </c>
      <c r="S10" s="299">
        <v>1200000</v>
      </c>
      <c r="T10" s="105" t="s">
        <v>1459</v>
      </c>
      <c r="U10" s="299">
        <v>1200000</v>
      </c>
      <c r="V10" s="299"/>
      <c r="W10" s="299">
        <v>600000</v>
      </c>
      <c r="X10" s="299">
        <v>600000</v>
      </c>
      <c r="Y10" s="299"/>
      <c r="Z10" s="299"/>
      <c r="AA10" s="299"/>
      <c r="AB10" s="299"/>
      <c r="AC10" s="299"/>
      <c r="AD10" s="299"/>
      <c r="AE10" s="299"/>
      <c r="AF10" s="299"/>
      <c r="AG10" s="299">
        <f t="shared" si="0"/>
        <v>1200000</v>
      </c>
      <c r="AH10" s="298" t="s">
        <v>237</v>
      </c>
      <c r="AI10" s="298"/>
      <c r="AJ10" s="298"/>
      <c r="AK10" s="105" t="s">
        <v>1728</v>
      </c>
      <c r="AL10" s="105" t="s">
        <v>1725</v>
      </c>
      <c r="AM10" s="298">
        <v>100</v>
      </c>
      <c r="AN10" s="301">
        <f t="shared" si="1"/>
        <v>100</v>
      </c>
    </row>
    <row r="11" spans="1:40" ht="150" x14ac:dyDescent="0.25">
      <c r="A11" s="1128"/>
      <c r="B11" s="1128"/>
      <c r="C11" s="1273"/>
      <c r="D11" s="1128"/>
      <c r="E11" s="1273"/>
      <c r="F11" s="1273"/>
      <c r="G11" s="1275"/>
      <c r="H11" s="1273"/>
      <c r="I11" s="298">
        <v>3</v>
      </c>
      <c r="J11" s="105" t="s">
        <v>1433</v>
      </c>
      <c r="K11" s="105" t="s">
        <v>1445</v>
      </c>
      <c r="L11" s="105" t="s">
        <v>1730</v>
      </c>
      <c r="M11" s="299">
        <v>1200000</v>
      </c>
      <c r="N11" s="298" t="s">
        <v>329</v>
      </c>
      <c r="O11" s="300">
        <v>41529</v>
      </c>
      <c r="P11" s="300">
        <v>41590</v>
      </c>
      <c r="Q11" s="300">
        <v>41590</v>
      </c>
      <c r="R11" s="105" t="s">
        <v>1460</v>
      </c>
      <c r="S11" s="299">
        <v>1200000</v>
      </c>
      <c r="T11" s="105" t="s">
        <v>1461</v>
      </c>
      <c r="U11" s="299">
        <v>1200000</v>
      </c>
      <c r="V11" s="299"/>
      <c r="W11" s="299">
        <v>600000</v>
      </c>
      <c r="X11" s="299">
        <v>600000</v>
      </c>
      <c r="Y11" s="299"/>
      <c r="Z11" s="299"/>
      <c r="AA11" s="299"/>
      <c r="AB11" s="299"/>
      <c r="AC11" s="299"/>
      <c r="AD11" s="299"/>
      <c r="AE11" s="299"/>
      <c r="AF11" s="299"/>
      <c r="AG11" s="299">
        <f t="shared" si="0"/>
        <v>1200000</v>
      </c>
      <c r="AH11" s="298" t="s">
        <v>237</v>
      </c>
      <c r="AI11" s="298"/>
      <c r="AJ11" s="298"/>
      <c r="AK11" s="105" t="s">
        <v>1729</v>
      </c>
      <c r="AL11" s="298"/>
      <c r="AM11" s="298">
        <v>100</v>
      </c>
      <c r="AN11" s="301">
        <f t="shared" si="1"/>
        <v>100</v>
      </c>
    </row>
    <row r="12" spans="1:40" ht="150" x14ac:dyDescent="0.25">
      <c r="A12" s="1128"/>
      <c r="B12" s="1128"/>
      <c r="C12" s="1273"/>
      <c r="D12" s="1128"/>
      <c r="E12" s="1273"/>
      <c r="F12" s="1273"/>
      <c r="G12" s="1275"/>
      <c r="H12" s="1273"/>
      <c r="I12" s="298">
        <v>4</v>
      </c>
      <c r="J12" s="105" t="s">
        <v>1434</v>
      </c>
      <c r="K12" s="105" t="s">
        <v>1446</v>
      </c>
      <c r="L12" s="105" t="s">
        <v>1731</v>
      </c>
      <c r="M12" s="299">
        <v>2000000</v>
      </c>
      <c r="N12" s="298" t="s">
        <v>329</v>
      </c>
      <c r="O12" s="300">
        <v>41529</v>
      </c>
      <c r="P12" s="300">
        <v>41590</v>
      </c>
      <c r="Q12" s="300">
        <v>41590</v>
      </c>
      <c r="R12" s="105" t="s">
        <v>1462</v>
      </c>
      <c r="S12" s="299">
        <v>2000000</v>
      </c>
      <c r="T12" s="105" t="s">
        <v>1463</v>
      </c>
      <c r="U12" s="299">
        <v>2000000</v>
      </c>
      <c r="V12" s="299"/>
      <c r="W12" s="299">
        <v>1000000</v>
      </c>
      <c r="X12" s="299">
        <v>1000000</v>
      </c>
      <c r="Y12" s="299"/>
      <c r="Z12" s="299"/>
      <c r="AA12" s="299"/>
      <c r="AB12" s="299"/>
      <c r="AC12" s="299"/>
      <c r="AD12" s="299"/>
      <c r="AE12" s="299"/>
      <c r="AF12" s="299"/>
      <c r="AG12" s="299">
        <f t="shared" si="0"/>
        <v>2000000</v>
      </c>
      <c r="AH12" s="298" t="s">
        <v>237</v>
      </c>
      <c r="AI12" s="298"/>
      <c r="AJ12" s="298"/>
      <c r="AK12" s="105" t="s">
        <v>1443</v>
      </c>
      <c r="AL12" s="298"/>
      <c r="AM12" s="298">
        <v>100</v>
      </c>
      <c r="AN12" s="301">
        <f t="shared" si="1"/>
        <v>100</v>
      </c>
    </row>
    <row r="13" spans="1:40" ht="150" x14ac:dyDescent="0.25">
      <c r="A13" s="1128"/>
      <c r="B13" s="1128"/>
      <c r="C13" s="1273"/>
      <c r="D13" s="1128"/>
      <c r="E13" s="1273"/>
      <c r="F13" s="1273"/>
      <c r="G13" s="1275"/>
      <c r="H13" s="1273"/>
      <c r="I13" s="298">
        <v>5</v>
      </c>
      <c r="J13" s="105" t="s">
        <v>1435</v>
      </c>
      <c r="K13" s="105" t="s">
        <v>1447</v>
      </c>
      <c r="L13" s="105" t="s">
        <v>1730</v>
      </c>
      <c r="M13" s="299">
        <v>1200000</v>
      </c>
      <c r="N13" s="298" t="s">
        <v>329</v>
      </c>
      <c r="O13" s="300">
        <v>41529</v>
      </c>
      <c r="P13" s="300">
        <v>41590</v>
      </c>
      <c r="Q13" s="300">
        <v>41590</v>
      </c>
      <c r="R13" s="105" t="s">
        <v>1464</v>
      </c>
      <c r="S13" s="299">
        <v>1200000</v>
      </c>
      <c r="T13" s="105" t="s">
        <v>1465</v>
      </c>
      <c r="U13" s="299">
        <v>1200000</v>
      </c>
      <c r="V13" s="299"/>
      <c r="W13" s="299">
        <v>600000</v>
      </c>
      <c r="X13" s="299">
        <v>600000</v>
      </c>
      <c r="Y13" s="299"/>
      <c r="Z13" s="299"/>
      <c r="AA13" s="299"/>
      <c r="AB13" s="299"/>
      <c r="AC13" s="299"/>
      <c r="AD13" s="299"/>
      <c r="AE13" s="299"/>
      <c r="AF13" s="299"/>
      <c r="AG13" s="299">
        <f t="shared" si="0"/>
        <v>1200000</v>
      </c>
      <c r="AH13" s="298" t="s">
        <v>237</v>
      </c>
      <c r="AI13" s="298"/>
      <c r="AJ13" s="298"/>
      <c r="AK13" s="105" t="s">
        <v>1726</v>
      </c>
      <c r="AL13" s="105" t="s">
        <v>1727</v>
      </c>
      <c r="AM13" s="298">
        <v>100</v>
      </c>
      <c r="AN13" s="301">
        <f t="shared" si="1"/>
        <v>100</v>
      </c>
    </row>
    <row r="14" spans="1:40" ht="150" x14ac:dyDescent="0.25">
      <c r="A14" s="1128"/>
      <c r="B14" s="1128"/>
      <c r="C14" s="1273"/>
      <c r="D14" s="1128"/>
      <c r="E14" s="1273"/>
      <c r="F14" s="1273"/>
      <c r="G14" s="1275"/>
      <c r="H14" s="1273"/>
      <c r="I14" s="298">
        <v>6</v>
      </c>
      <c r="J14" s="105" t="s">
        <v>1436</v>
      </c>
      <c r="K14" s="105" t="s">
        <v>1448</v>
      </c>
      <c r="L14" s="105" t="s">
        <v>1730</v>
      </c>
      <c r="M14" s="299">
        <v>1200000</v>
      </c>
      <c r="N14" s="298" t="s">
        <v>329</v>
      </c>
      <c r="O14" s="300">
        <v>41529</v>
      </c>
      <c r="P14" s="300">
        <v>41590</v>
      </c>
      <c r="Q14" s="300">
        <v>41590</v>
      </c>
      <c r="R14" s="105" t="s">
        <v>1466</v>
      </c>
      <c r="S14" s="299">
        <v>1200000</v>
      </c>
      <c r="T14" s="105" t="s">
        <v>1467</v>
      </c>
      <c r="U14" s="299">
        <v>1200000</v>
      </c>
      <c r="V14" s="299"/>
      <c r="W14" s="299">
        <v>1200000</v>
      </c>
      <c r="X14" s="299"/>
      <c r="Y14" s="299"/>
      <c r="Z14" s="299"/>
      <c r="AA14" s="299"/>
      <c r="AB14" s="299"/>
      <c r="AC14" s="299"/>
      <c r="AD14" s="299"/>
      <c r="AE14" s="299"/>
      <c r="AF14" s="299"/>
      <c r="AG14" s="299">
        <f t="shared" si="0"/>
        <v>1200000</v>
      </c>
      <c r="AH14" s="298" t="s">
        <v>237</v>
      </c>
      <c r="AI14" s="298"/>
      <c r="AJ14" s="298"/>
      <c r="AK14" s="105" t="s">
        <v>1511</v>
      </c>
      <c r="AL14" s="298"/>
      <c r="AM14" s="298">
        <v>100</v>
      </c>
      <c r="AN14" s="301">
        <f t="shared" si="1"/>
        <v>100</v>
      </c>
    </row>
    <row r="15" spans="1:40" ht="150" x14ac:dyDescent="0.25">
      <c r="A15" s="1128"/>
      <c r="B15" s="1128"/>
      <c r="C15" s="1273"/>
      <c r="D15" s="1128"/>
      <c r="E15" s="1273"/>
      <c r="F15" s="1273"/>
      <c r="G15" s="1275"/>
      <c r="H15" s="1273"/>
      <c r="I15" s="298">
        <v>7</v>
      </c>
      <c r="J15" s="105" t="s">
        <v>1437</v>
      </c>
      <c r="K15" s="105" t="s">
        <v>1449</v>
      </c>
      <c r="L15" s="105" t="s">
        <v>1731</v>
      </c>
      <c r="M15" s="299">
        <v>1200000</v>
      </c>
      <c r="N15" s="298" t="s">
        <v>329</v>
      </c>
      <c r="O15" s="300">
        <v>41529</v>
      </c>
      <c r="P15" s="300">
        <v>41590</v>
      </c>
      <c r="Q15" s="300">
        <v>41590</v>
      </c>
      <c r="R15" s="105" t="s">
        <v>1468</v>
      </c>
      <c r="S15" s="299">
        <v>1200000</v>
      </c>
      <c r="T15" s="105" t="s">
        <v>1469</v>
      </c>
      <c r="U15" s="299">
        <v>1200000</v>
      </c>
      <c r="V15" s="299"/>
      <c r="W15" s="299">
        <v>600000</v>
      </c>
      <c r="X15" s="299">
        <v>600000</v>
      </c>
      <c r="Y15" s="299"/>
      <c r="Z15" s="299"/>
      <c r="AA15" s="299"/>
      <c r="AB15" s="299"/>
      <c r="AC15" s="299"/>
      <c r="AD15" s="299"/>
      <c r="AE15" s="299"/>
      <c r="AF15" s="299"/>
      <c r="AG15" s="299">
        <f t="shared" si="0"/>
        <v>1200000</v>
      </c>
      <c r="AH15" s="298" t="s">
        <v>237</v>
      </c>
      <c r="AI15" s="298"/>
      <c r="AJ15" s="298"/>
      <c r="AK15" s="105" t="s">
        <v>1443</v>
      </c>
      <c r="AL15" s="298"/>
      <c r="AM15" s="298">
        <v>100</v>
      </c>
      <c r="AN15" s="301">
        <f t="shared" si="1"/>
        <v>100</v>
      </c>
    </row>
    <row r="16" spans="1:40" ht="150" x14ac:dyDescent="0.25">
      <c r="A16" s="1128"/>
      <c r="B16" s="1128"/>
      <c r="C16" s="1273"/>
      <c r="D16" s="1128"/>
      <c r="E16" s="1273"/>
      <c r="F16" s="1273"/>
      <c r="G16" s="1275"/>
      <c r="H16" s="1273"/>
      <c r="I16" s="298">
        <v>8</v>
      </c>
      <c r="J16" s="105" t="s">
        <v>1438</v>
      </c>
      <c r="K16" s="105" t="s">
        <v>1450</v>
      </c>
      <c r="L16" s="105" t="s">
        <v>1730</v>
      </c>
      <c r="M16" s="299">
        <v>2000000</v>
      </c>
      <c r="N16" s="298" t="s">
        <v>329</v>
      </c>
      <c r="O16" s="300">
        <v>41529</v>
      </c>
      <c r="P16" s="300">
        <v>41590</v>
      </c>
      <c r="Q16" s="300">
        <v>41590</v>
      </c>
      <c r="R16" s="105" t="s">
        <v>1470</v>
      </c>
      <c r="S16" s="299">
        <v>2000000</v>
      </c>
      <c r="T16" s="105" t="s">
        <v>1471</v>
      </c>
      <c r="U16" s="299">
        <v>2000000</v>
      </c>
      <c r="V16" s="299"/>
      <c r="W16" s="299">
        <v>1000000</v>
      </c>
      <c r="X16" s="299">
        <v>1000000</v>
      </c>
      <c r="Y16" s="299"/>
      <c r="Z16" s="299"/>
      <c r="AA16" s="299"/>
      <c r="AB16" s="299"/>
      <c r="AC16" s="299"/>
      <c r="AD16" s="299"/>
      <c r="AE16" s="299"/>
      <c r="AF16" s="299"/>
      <c r="AG16" s="299">
        <f t="shared" si="0"/>
        <v>2000000</v>
      </c>
      <c r="AH16" s="298" t="s">
        <v>237</v>
      </c>
      <c r="AI16" s="298"/>
      <c r="AJ16" s="298"/>
      <c r="AK16" s="105" t="s">
        <v>1726</v>
      </c>
      <c r="AL16" s="298"/>
      <c r="AM16" s="298">
        <v>100</v>
      </c>
      <c r="AN16" s="301">
        <f t="shared" si="1"/>
        <v>100</v>
      </c>
    </row>
    <row r="17" spans="1:40" ht="150" x14ac:dyDescent="0.25">
      <c r="A17" s="1128"/>
      <c r="B17" s="1128"/>
      <c r="C17" s="1273"/>
      <c r="D17" s="1128"/>
      <c r="E17" s="1273"/>
      <c r="F17" s="1273"/>
      <c r="G17" s="1275"/>
      <c r="H17" s="1273"/>
      <c r="I17" s="298">
        <v>9</v>
      </c>
      <c r="J17" s="105" t="s">
        <v>1439</v>
      </c>
      <c r="K17" s="105" t="s">
        <v>1451</v>
      </c>
      <c r="L17" s="105" t="s">
        <v>1511</v>
      </c>
      <c r="M17" s="299">
        <v>1200000</v>
      </c>
      <c r="N17" s="298" t="s">
        <v>329</v>
      </c>
      <c r="O17" s="300">
        <v>41529</v>
      </c>
      <c r="P17" s="300">
        <v>41590</v>
      </c>
      <c r="Q17" s="300">
        <v>41590</v>
      </c>
      <c r="R17" s="105" t="s">
        <v>1472</v>
      </c>
      <c r="S17" s="299">
        <v>1200000</v>
      </c>
      <c r="T17" s="105" t="s">
        <v>1473</v>
      </c>
      <c r="U17" s="299">
        <v>1200000</v>
      </c>
      <c r="V17" s="299"/>
      <c r="W17" s="299">
        <v>1200000</v>
      </c>
      <c r="X17" s="299"/>
      <c r="Y17" s="299"/>
      <c r="Z17" s="299"/>
      <c r="AA17" s="299"/>
      <c r="AB17" s="299"/>
      <c r="AC17" s="299"/>
      <c r="AD17" s="299"/>
      <c r="AE17" s="299"/>
      <c r="AF17" s="299"/>
      <c r="AG17" s="299">
        <f t="shared" si="0"/>
        <v>1200000</v>
      </c>
      <c r="AH17" s="298" t="s">
        <v>237</v>
      </c>
      <c r="AI17" s="298"/>
      <c r="AJ17" s="298"/>
      <c r="AK17" s="105" t="s">
        <v>1729</v>
      </c>
      <c r="AL17" s="298"/>
      <c r="AM17" s="298">
        <v>100</v>
      </c>
      <c r="AN17" s="301">
        <f t="shared" si="1"/>
        <v>100</v>
      </c>
    </row>
    <row r="18" spans="1:40" ht="60" x14ac:dyDescent="0.25">
      <c r="A18" s="1128"/>
      <c r="B18" s="1128"/>
      <c r="C18" s="1273"/>
      <c r="D18" s="1128"/>
      <c r="E18" s="1273"/>
      <c r="F18" s="1273"/>
      <c r="G18" s="1275"/>
      <c r="H18" s="1273"/>
      <c r="I18" s="298">
        <v>10</v>
      </c>
      <c r="J18" s="105" t="s">
        <v>1440</v>
      </c>
      <c r="K18" s="105" t="s">
        <v>1452</v>
      </c>
      <c r="L18" s="105" t="s">
        <v>1454</v>
      </c>
      <c r="M18" s="299">
        <v>14125000</v>
      </c>
      <c r="N18" s="298" t="s">
        <v>1474</v>
      </c>
      <c r="O18" s="300">
        <v>41477</v>
      </c>
      <c r="P18" s="300">
        <v>41483</v>
      </c>
      <c r="Q18" s="300">
        <v>41483</v>
      </c>
      <c r="R18" s="298"/>
      <c r="S18" s="299"/>
      <c r="T18" s="298"/>
      <c r="U18" s="299"/>
      <c r="V18" s="299"/>
      <c r="W18" s="299">
        <v>11300000</v>
      </c>
      <c r="X18" s="299">
        <v>2825000</v>
      </c>
      <c r="Y18" s="299"/>
      <c r="Z18" s="299"/>
      <c r="AA18" s="299"/>
      <c r="AB18" s="299"/>
      <c r="AC18" s="299"/>
      <c r="AD18" s="299"/>
      <c r="AE18" s="299"/>
      <c r="AF18" s="299"/>
      <c r="AG18" s="299">
        <f t="shared" si="0"/>
        <v>14125000</v>
      </c>
      <c r="AH18" s="298" t="s">
        <v>237</v>
      </c>
      <c r="AI18" s="298"/>
      <c r="AJ18" s="298"/>
      <c r="AK18" s="105" t="s">
        <v>1454</v>
      </c>
      <c r="AL18" s="298"/>
      <c r="AM18" s="298">
        <v>100</v>
      </c>
      <c r="AN18" s="301">
        <v>100</v>
      </c>
    </row>
    <row r="19" spans="1:40" ht="45" x14ac:dyDescent="0.25">
      <c r="A19" s="1129"/>
      <c r="B19" s="1129"/>
      <c r="C19" s="1145"/>
      <c r="D19" s="1129"/>
      <c r="E19" s="1145"/>
      <c r="F19" s="1145"/>
      <c r="G19" s="1276"/>
      <c r="H19" s="1145"/>
      <c r="I19" s="298">
        <v>11</v>
      </c>
      <c r="J19" s="105" t="s">
        <v>1441</v>
      </c>
      <c r="K19" s="105" t="s">
        <v>1453</v>
      </c>
      <c r="L19" s="105" t="s">
        <v>1455</v>
      </c>
      <c r="M19" s="299">
        <v>3928000</v>
      </c>
      <c r="N19" s="299"/>
      <c r="O19" s="299"/>
      <c r="P19" s="299"/>
      <c r="Q19" s="299"/>
      <c r="R19" s="299"/>
      <c r="S19" s="299"/>
      <c r="T19" s="299"/>
      <c r="U19" s="299"/>
      <c r="V19" s="299"/>
      <c r="W19" s="299">
        <v>3928000</v>
      </c>
      <c r="X19" s="299"/>
      <c r="Y19" s="299"/>
      <c r="Z19" s="299"/>
      <c r="AA19" s="299"/>
      <c r="AB19" s="299"/>
      <c r="AC19" s="299"/>
      <c r="AD19" s="299"/>
      <c r="AE19" s="299"/>
      <c r="AF19" s="299"/>
      <c r="AG19" s="299">
        <f t="shared" si="0"/>
        <v>3928000</v>
      </c>
      <c r="AH19" s="298" t="s">
        <v>237</v>
      </c>
      <c r="AI19" s="298"/>
      <c r="AJ19" s="298"/>
      <c r="AK19" s="105" t="s">
        <v>1455</v>
      </c>
      <c r="AL19" s="298"/>
      <c r="AM19" s="298">
        <v>100</v>
      </c>
      <c r="AN19" s="301">
        <v>100</v>
      </c>
    </row>
    <row r="20" spans="1:40" x14ac:dyDescent="0.25">
      <c r="A20" s="298"/>
      <c r="B20" s="298"/>
      <c r="C20" s="298"/>
      <c r="D20" s="298"/>
      <c r="E20" s="298"/>
      <c r="F20" s="298"/>
      <c r="G20" s="298"/>
      <c r="H20" s="298"/>
      <c r="I20" s="298"/>
      <c r="J20" s="298"/>
      <c r="K20" s="105"/>
      <c r="L20" s="298"/>
      <c r="M20" s="299">
        <f>SUM(M9:M19)</f>
        <v>30453000</v>
      </c>
      <c r="N20" s="299"/>
      <c r="O20" s="299"/>
      <c r="P20" s="299"/>
      <c r="Q20" s="299"/>
      <c r="R20" s="299"/>
      <c r="S20" s="299"/>
      <c r="T20" s="299"/>
      <c r="U20" s="299">
        <f>SUM(U9:U19)</f>
        <v>12400000</v>
      </c>
      <c r="V20" s="299"/>
      <c r="W20" s="299"/>
      <c r="X20" s="299"/>
      <c r="Y20" s="299"/>
      <c r="Z20" s="299"/>
      <c r="AA20" s="299"/>
      <c r="AB20" s="299"/>
      <c r="AC20" s="299"/>
      <c r="AD20" s="299"/>
      <c r="AE20" s="299"/>
      <c r="AF20" s="299"/>
      <c r="AG20" s="299">
        <f>SUM(AG9:AG19)</f>
        <v>30453000</v>
      </c>
      <c r="AH20" s="298"/>
      <c r="AI20" s="298"/>
      <c r="AJ20" s="298"/>
      <c r="AK20" s="298"/>
      <c r="AL20" s="298"/>
      <c r="AM20" s="298">
        <f>SUM(AM9:AM19)/11</f>
        <v>100</v>
      </c>
      <c r="AN20" s="298">
        <f>SUM(AN9:AN19)/11</f>
        <v>100</v>
      </c>
    </row>
    <row r="21" spans="1:40" ht="90" x14ac:dyDescent="0.25">
      <c r="A21" s="31">
        <v>3</v>
      </c>
      <c r="B21" s="309" t="s">
        <v>390</v>
      </c>
      <c r="C21" s="310" t="s">
        <v>1555</v>
      </c>
      <c r="D21" s="31">
        <v>2013</v>
      </c>
      <c r="E21" s="29" t="s">
        <v>1428</v>
      </c>
      <c r="F21" s="349" t="s">
        <v>1475</v>
      </c>
      <c r="G21" s="302">
        <v>211673000</v>
      </c>
      <c r="H21" s="29" t="s">
        <v>1476</v>
      </c>
      <c r="I21" s="31"/>
      <c r="J21" s="31"/>
      <c r="K21" s="29"/>
      <c r="L21" s="31"/>
      <c r="M21" s="302"/>
      <c r="N21" s="302"/>
      <c r="O21" s="302"/>
      <c r="P21" s="302"/>
      <c r="Q21" s="302"/>
      <c r="R21" s="302"/>
      <c r="S21" s="302"/>
      <c r="T21" s="302"/>
      <c r="U21" s="302"/>
      <c r="V21" s="302"/>
      <c r="W21" s="302"/>
      <c r="X21" s="302"/>
      <c r="Y21" s="302"/>
      <c r="Z21" s="302"/>
      <c r="AA21" s="302"/>
      <c r="AB21" s="302"/>
      <c r="AC21" s="302"/>
      <c r="AD21" s="302"/>
      <c r="AE21" s="302"/>
      <c r="AF21" s="302"/>
      <c r="AG21" s="302">
        <f t="shared" si="0"/>
        <v>0</v>
      </c>
      <c r="AH21" s="31"/>
      <c r="AI21" s="31"/>
      <c r="AJ21" s="29" t="s">
        <v>1477</v>
      </c>
      <c r="AK21" s="483" t="s">
        <v>1428</v>
      </c>
      <c r="AL21" s="31"/>
      <c r="AM21" s="31">
        <v>0</v>
      </c>
      <c r="AN21" s="31">
        <v>0</v>
      </c>
    </row>
    <row r="22" spans="1:40" ht="60" customHeight="1" x14ac:dyDescent="0.25">
      <c r="A22" s="1284">
        <v>4</v>
      </c>
      <c r="B22" s="1284" t="s">
        <v>390</v>
      </c>
      <c r="C22" s="1098" t="s">
        <v>1555</v>
      </c>
      <c r="D22" s="1284">
        <v>2013</v>
      </c>
      <c r="E22" s="1284" t="s">
        <v>1478</v>
      </c>
      <c r="F22" s="1098" t="s">
        <v>1479</v>
      </c>
      <c r="G22" s="1281" t="s">
        <v>1481</v>
      </c>
      <c r="H22" s="1098" t="s">
        <v>1482</v>
      </c>
      <c r="I22" s="36">
        <v>1</v>
      </c>
      <c r="J22" s="240" t="s">
        <v>1483</v>
      </c>
      <c r="K22" s="240" t="s">
        <v>1500</v>
      </c>
      <c r="L22" s="36" t="s">
        <v>1508</v>
      </c>
      <c r="M22" s="303">
        <v>2600000</v>
      </c>
      <c r="N22" s="303"/>
      <c r="O22" s="42"/>
      <c r="P22" s="42"/>
      <c r="Q22" s="42"/>
      <c r="R22" s="304" t="s">
        <v>1518</v>
      </c>
      <c r="S22" s="303">
        <v>2600000</v>
      </c>
      <c r="T22" s="303"/>
      <c r="U22" s="303"/>
      <c r="V22" s="303"/>
      <c r="W22" s="303">
        <v>2600000</v>
      </c>
      <c r="X22" s="303"/>
      <c r="Y22" s="303"/>
      <c r="Z22" s="303"/>
      <c r="AA22" s="303"/>
      <c r="AB22" s="303"/>
      <c r="AC22" s="303"/>
      <c r="AD22" s="303"/>
      <c r="AE22" s="303"/>
      <c r="AF22" s="303"/>
      <c r="AG22" s="303">
        <f t="shared" si="0"/>
        <v>2600000</v>
      </c>
      <c r="AH22" s="36" t="s">
        <v>237</v>
      </c>
      <c r="AI22" s="36"/>
      <c r="AJ22" s="36"/>
      <c r="AK22" s="36" t="s">
        <v>1508</v>
      </c>
      <c r="AL22" s="36"/>
      <c r="AM22" s="36">
        <v>100</v>
      </c>
      <c r="AN22" s="124">
        <v>100</v>
      </c>
    </row>
    <row r="23" spans="1:40" ht="120" x14ac:dyDescent="0.25">
      <c r="A23" s="1285"/>
      <c r="B23" s="1285"/>
      <c r="C23" s="1280"/>
      <c r="D23" s="1285"/>
      <c r="E23" s="1285"/>
      <c r="F23" s="1280"/>
      <c r="G23" s="1282"/>
      <c r="H23" s="1280"/>
      <c r="I23" s="36">
        <v>2</v>
      </c>
      <c r="J23" s="240" t="s">
        <v>1484</v>
      </c>
      <c r="K23" s="240" t="s">
        <v>1496</v>
      </c>
      <c r="L23" s="240" t="s">
        <v>1509</v>
      </c>
      <c r="M23" s="303">
        <f>24402550+6011200</f>
        <v>30413750</v>
      </c>
      <c r="N23" s="303" t="s">
        <v>1031</v>
      </c>
      <c r="O23" s="42">
        <v>41523</v>
      </c>
      <c r="P23" s="42">
        <v>41584</v>
      </c>
      <c r="Q23" s="42">
        <v>41584</v>
      </c>
      <c r="R23" s="303"/>
      <c r="S23" s="303"/>
      <c r="T23" s="303"/>
      <c r="U23" s="303"/>
      <c r="V23" s="303"/>
      <c r="W23" s="303">
        <v>17922040</v>
      </c>
      <c r="X23" s="303">
        <v>4808960</v>
      </c>
      <c r="Y23" s="303">
        <v>5682750</v>
      </c>
      <c r="Z23" s="303"/>
      <c r="AA23" s="303"/>
      <c r="AB23" s="303"/>
      <c r="AC23" s="303"/>
      <c r="AD23" s="303"/>
      <c r="AE23" s="303"/>
      <c r="AF23" s="303"/>
      <c r="AG23" s="303">
        <f t="shared" si="0"/>
        <v>28413750</v>
      </c>
      <c r="AH23" s="36" t="s">
        <v>237</v>
      </c>
      <c r="AI23" s="36"/>
      <c r="AJ23" s="36"/>
      <c r="AK23" s="240" t="s">
        <v>1509</v>
      </c>
      <c r="AL23" s="36"/>
      <c r="AM23" s="36">
        <v>100</v>
      </c>
      <c r="AN23" s="124">
        <v>100</v>
      </c>
    </row>
    <row r="24" spans="1:40" ht="75" x14ac:dyDescent="0.25">
      <c r="A24" s="1285"/>
      <c r="B24" s="1285"/>
      <c r="C24" s="1280"/>
      <c r="D24" s="1285"/>
      <c r="E24" s="1285"/>
      <c r="F24" s="1280"/>
      <c r="G24" s="1282"/>
      <c r="H24" s="1280"/>
      <c r="I24" s="36">
        <v>3</v>
      </c>
      <c r="J24" s="240" t="s">
        <v>1485</v>
      </c>
      <c r="K24" s="240" t="s">
        <v>1497</v>
      </c>
      <c r="L24" s="240" t="s">
        <v>1510</v>
      </c>
      <c r="M24" s="303">
        <v>3855000</v>
      </c>
      <c r="N24" s="303" t="s">
        <v>1516</v>
      </c>
      <c r="O24" s="42"/>
      <c r="P24" s="42"/>
      <c r="Q24" s="42"/>
      <c r="R24" s="303"/>
      <c r="S24" s="303"/>
      <c r="T24" s="303"/>
      <c r="U24" s="303"/>
      <c r="V24" s="303"/>
      <c r="W24" s="303">
        <v>3855000</v>
      </c>
      <c r="X24" s="303"/>
      <c r="Y24" s="303"/>
      <c r="Z24" s="303"/>
      <c r="AA24" s="303"/>
      <c r="AB24" s="303"/>
      <c r="AC24" s="303"/>
      <c r="AD24" s="303"/>
      <c r="AE24" s="303"/>
      <c r="AF24" s="303"/>
      <c r="AG24" s="303">
        <f t="shared" si="0"/>
        <v>3855000</v>
      </c>
      <c r="AH24" s="36" t="s">
        <v>237</v>
      </c>
      <c r="AI24" s="36"/>
      <c r="AJ24" s="36"/>
      <c r="AK24" s="240" t="s">
        <v>1510</v>
      </c>
      <c r="AL24" s="36"/>
      <c r="AM24" s="36">
        <v>100</v>
      </c>
      <c r="AN24" s="124">
        <v>100</v>
      </c>
    </row>
    <row r="25" spans="1:40" ht="120" x14ac:dyDescent="0.25">
      <c r="A25" s="1285"/>
      <c r="B25" s="1285"/>
      <c r="C25" s="1280"/>
      <c r="D25" s="1285"/>
      <c r="E25" s="1285"/>
      <c r="F25" s="1280"/>
      <c r="G25" s="1282"/>
      <c r="H25" s="1280"/>
      <c r="I25" s="36">
        <v>4</v>
      </c>
      <c r="J25" s="240" t="s">
        <v>1486</v>
      </c>
      <c r="K25" s="240" t="s">
        <v>1498</v>
      </c>
      <c r="L25" s="240" t="s">
        <v>1512</v>
      </c>
      <c r="M25" s="303">
        <v>4000000</v>
      </c>
      <c r="N25" s="303" t="s">
        <v>329</v>
      </c>
      <c r="O25" s="42">
        <v>41530</v>
      </c>
      <c r="P25" s="42">
        <v>41591</v>
      </c>
      <c r="Q25" s="42">
        <v>41591</v>
      </c>
      <c r="R25" s="304" t="s">
        <v>1519</v>
      </c>
      <c r="S25" s="303">
        <v>4000000</v>
      </c>
      <c r="T25" s="304" t="s">
        <v>1520</v>
      </c>
      <c r="U25" s="303">
        <v>4000000</v>
      </c>
      <c r="V25" s="303"/>
      <c r="W25" s="303">
        <v>2000000</v>
      </c>
      <c r="X25" s="303">
        <v>2000000</v>
      </c>
      <c r="Y25" s="303"/>
      <c r="Z25" s="303"/>
      <c r="AA25" s="303"/>
      <c r="AB25" s="303"/>
      <c r="AC25" s="303"/>
      <c r="AD25" s="303"/>
      <c r="AE25" s="303"/>
      <c r="AF25" s="303"/>
      <c r="AG25" s="303">
        <f t="shared" si="0"/>
        <v>4000000</v>
      </c>
      <c r="AH25" s="36" t="s">
        <v>237</v>
      </c>
      <c r="AI25" s="36"/>
      <c r="AJ25" s="36"/>
      <c r="AK25" s="240" t="s">
        <v>1512</v>
      </c>
      <c r="AL25" s="36"/>
      <c r="AM25" s="36">
        <v>100</v>
      </c>
      <c r="AN25" s="124">
        <f t="shared" si="1"/>
        <v>100</v>
      </c>
    </row>
    <row r="26" spans="1:40" ht="120" x14ac:dyDescent="0.25">
      <c r="A26" s="1285"/>
      <c r="B26" s="1285"/>
      <c r="C26" s="1280"/>
      <c r="D26" s="1285"/>
      <c r="E26" s="1285"/>
      <c r="F26" s="1280"/>
      <c r="G26" s="1282"/>
      <c r="H26" s="1280"/>
      <c r="I26" s="36">
        <v>5</v>
      </c>
      <c r="J26" s="240" t="s">
        <v>1487</v>
      </c>
      <c r="K26" s="240" t="s">
        <v>1499</v>
      </c>
      <c r="L26" s="240" t="s">
        <v>1513</v>
      </c>
      <c r="M26" s="303">
        <v>4000000</v>
      </c>
      <c r="N26" s="303" t="s">
        <v>329</v>
      </c>
      <c r="O26" s="42">
        <v>41530</v>
      </c>
      <c r="P26" s="42">
        <v>41591</v>
      </c>
      <c r="Q26" s="42">
        <v>41591</v>
      </c>
      <c r="R26" s="304" t="s">
        <v>1521</v>
      </c>
      <c r="S26" s="303">
        <v>4000000</v>
      </c>
      <c r="T26" s="304" t="s">
        <v>1522</v>
      </c>
      <c r="U26" s="303">
        <v>4000000</v>
      </c>
      <c r="V26" s="303"/>
      <c r="W26" s="303">
        <v>2000000</v>
      </c>
      <c r="X26" s="303">
        <v>2000000</v>
      </c>
      <c r="Y26" s="303"/>
      <c r="Z26" s="303"/>
      <c r="AA26" s="303"/>
      <c r="AB26" s="303"/>
      <c r="AC26" s="303"/>
      <c r="AD26" s="303"/>
      <c r="AE26" s="303"/>
      <c r="AF26" s="303"/>
      <c r="AG26" s="303">
        <f t="shared" si="0"/>
        <v>4000000</v>
      </c>
      <c r="AH26" s="36" t="s">
        <v>237</v>
      </c>
      <c r="AI26" s="36"/>
      <c r="AJ26" s="36"/>
      <c r="AK26" s="240" t="s">
        <v>1513</v>
      </c>
      <c r="AL26" s="36"/>
      <c r="AM26" s="36">
        <v>100</v>
      </c>
      <c r="AN26" s="124">
        <f t="shared" si="1"/>
        <v>100</v>
      </c>
    </row>
    <row r="27" spans="1:40" ht="60" x14ac:dyDescent="0.25">
      <c r="A27" s="1285"/>
      <c r="B27" s="1285"/>
      <c r="C27" s="1280"/>
      <c r="D27" s="1285"/>
      <c r="E27" s="1285"/>
      <c r="F27" s="1280"/>
      <c r="G27" s="1282"/>
      <c r="H27" s="1280"/>
      <c r="I27" s="36">
        <v>6</v>
      </c>
      <c r="J27" s="240" t="s">
        <v>1488</v>
      </c>
      <c r="K27" s="240" t="s">
        <v>1500</v>
      </c>
      <c r="L27" s="36" t="s">
        <v>1514</v>
      </c>
      <c r="M27" s="303">
        <v>2604000</v>
      </c>
      <c r="N27" s="303" t="s">
        <v>1517</v>
      </c>
      <c r="O27" s="42"/>
      <c r="P27" s="42"/>
      <c r="Q27" s="42"/>
      <c r="R27" s="303"/>
      <c r="S27" s="303"/>
      <c r="T27" s="303"/>
      <c r="U27" s="303"/>
      <c r="V27" s="303"/>
      <c r="W27" s="303">
        <v>2604000</v>
      </c>
      <c r="X27" s="303"/>
      <c r="Y27" s="303"/>
      <c r="Z27" s="303"/>
      <c r="AA27" s="303"/>
      <c r="AB27" s="303"/>
      <c r="AC27" s="303"/>
      <c r="AD27" s="303"/>
      <c r="AE27" s="303"/>
      <c r="AF27" s="303"/>
      <c r="AG27" s="303">
        <f t="shared" si="0"/>
        <v>2604000</v>
      </c>
      <c r="AH27" s="36" t="s">
        <v>237</v>
      </c>
      <c r="AI27" s="36"/>
      <c r="AJ27" s="36"/>
      <c r="AK27" s="36" t="s">
        <v>1514</v>
      </c>
      <c r="AL27" s="36"/>
      <c r="AM27" s="36">
        <v>100</v>
      </c>
      <c r="AN27" s="124">
        <v>100</v>
      </c>
    </row>
    <row r="28" spans="1:40" ht="165" x14ac:dyDescent="0.25">
      <c r="A28" s="1285"/>
      <c r="B28" s="1285"/>
      <c r="C28" s="1280"/>
      <c r="D28" s="1285"/>
      <c r="E28" s="1285"/>
      <c r="F28" s="1280"/>
      <c r="G28" s="1282"/>
      <c r="H28" s="1280"/>
      <c r="I28" s="36">
        <v>7</v>
      </c>
      <c r="J28" s="240" t="s">
        <v>1489</v>
      </c>
      <c r="K28" s="240" t="s">
        <v>1501</v>
      </c>
      <c r="L28" s="240" t="s">
        <v>1515</v>
      </c>
      <c r="M28" s="303">
        <v>1600000</v>
      </c>
      <c r="N28" s="303" t="s">
        <v>329</v>
      </c>
      <c r="O28" s="42"/>
      <c r="P28" s="42"/>
      <c r="Q28" s="42"/>
      <c r="R28" s="304" t="s">
        <v>1523</v>
      </c>
      <c r="S28" s="303">
        <v>1600000</v>
      </c>
      <c r="T28" s="304" t="s">
        <v>1524</v>
      </c>
      <c r="U28" s="303">
        <v>1600000</v>
      </c>
      <c r="V28" s="303"/>
      <c r="W28" s="303">
        <v>800000</v>
      </c>
      <c r="X28" s="303">
        <v>800000</v>
      </c>
      <c r="Y28" s="303"/>
      <c r="Z28" s="303"/>
      <c r="AA28" s="303"/>
      <c r="AB28" s="303"/>
      <c r="AC28" s="303"/>
      <c r="AD28" s="303"/>
      <c r="AE28" s="303"/>
      <c r="AF28" s="303"/>
      <c r="AG28" s="303">
        <f t="shared" si="0"/>
        <v>1600000</v>
      </c>
      <c r="AH28" s="36" t="s">
        <v>237</v>
      </c>
      <c r="AI28" s="36"/>
      <c r="AJ28" s="36"/>
      <c r="AK28" s="240" t="s">
        <v>1515</v>
      </c>
      <c r="AL28" s="36"/>
      <c r="AM28" s="36">
        <v>100</v>
      </c>
      <c r="AN28" s="124">
        <f t="shared" si="1"/>
        <v>100</v>
      </c>
    </row>
    <row r="29" spans="1:40" ht="165" x14ac:dyDescent="0.25">
      <c r="A29" s="1285"/>
      <c r="B29" s="1285"/>
      <c r="C29" s="1280"/>
      <c r="D29" s="1285"/>
      <c r="E29" s="1285"/>
      <c r="F29" s="1280"/>
      <c r="G29" s="1282"/>
      <c r="H29" s="1280"/>
      <c r="I29" s="36">
        <v>8</v>
      </c>
      <c r="J29" s="240" t="s">
        <v>1490</v>
      </c>
      <c r="K29" s="240" t="s">
        <v>1502</v>
      </c>
      <c r="L29" s="240" t="s">
        <v>1515</v>
      </c>
      <c r="M29" s="303">
        <v>1200000</v>
      </c>
      <c r="N29" s="303" t="s">
        <v>329</v>
      </c>
      <c r="O29" s="42">
        <v>41530</v>
      </c>
      <c r="P29" s="42">
        <v>41591</v>
      </c>
      <c r="Q29" s="42">
        <v>41591</v>
      </c>
      <c r="R29" s="304" t="s">
        <v>1525</v>
      </c>
      <c r="S29" s="303">
        <v>1200000</v>
      </c>
      <c r="T29" s="304" t="s">
        <v>1526</v>
      </c>
      <c r="U29" s="303">
        <v>1200000</v>
      </c>
      <c r="V29" s="303"/>
      <c r="W29" s="303">
        <v>600000</v>
      </c>
      <c r="X29" s="303">
        <v>600000</v>
      </c>
      <c r="Y29" s="303"/>
      <c r="Z29" s="303"/>
      <c r="AA29" s="303"/>
      <c r="AB29" s="303"/>
      <c r="AC29" s="303"/>
      <c r="AD29" s="303"/>
      <c r="AE29" s="303"/>
      <c r="AF29" s="303"/>
      <c r="AG29" s="303">
        <f t="shared" si="0"/>
        <v>1200000</v>
      </c>
      <c r="AH29" s="36" t="s">
        <v>237</v>
      </c>
      <c r="AI29" s="36"/>
      <c r="AJ29" s="36"/>
      <c r="AK29" s="240" t="s">
        <v>1515</v>
      </c>
      <c r="AL29" s="36"/>
      <c r="AM29" s="36">
        <v>100</v>
      </c>
      <c r="AN29" s="124">
        <f t="shared" si="1"/>
        <v>100</v>
      </c>
    </row>
    <row r="30" spans="1:40" ht="165" x14ac:dyDescent="0.25">
      <c r="A30" s="1285"/>
      <c r="B30" s="1285"/>
      <c r="C30" s="1280"/>
      <c r="D30" s="1285"/>
      <c r="E30" s="1285"/>
      <c r="F30" s="1280"/>
      <c r="G30" s="1282"/>
      <c r="H30" s="1280"/>
      <c r="I30" s="305">
        <v>9</v>
      </c>
      <c r="J30" s="240" t="s">
        <v>1491</v>
      </c>
      <c r="K30" s="240" t="s">
        <v>1503</v>
      </c>
      <c r="L30" s="240" t="s">
        <v>1515</v>
      </c>
      <c r="M30" s="303">
        <v>1200000</v>
      </c>
      <c r="N30" s="303" t="s">
        <v>329</v>
      </c>
      <c r="O30" s="42">
        <v>41530</v>
      </c>
      <c r="P30" s="42">
        <v>41591</v>
      </c>
      <c r="Q30" s="42">
        <v>41591</v>
      </c>
      <c r="R30" s="304" t="s">
        <v>1527</v>
      </c>
      <c r="S30" s="303">
        <v>1200000</v>
      </c>
      <c r="T30" s="304" t="s">
        <v>1528</v>
      </c>
      <c r="U30" s="303">
        <v>1200000</v>
      </c>
      <c r="V30" s="306"/>
      <c r="W30" s="303">
        <v>600000</v>
      </c>
      <c r="X30" s="303">
        <v>600000</v>
      </c>
      <c r="Y30" s="306"/>
      <c r="Z30" s="306"/>
      <c r="AA30" s="306"/>
      <c r="AB30" s="306"/>
      <c r="AC30" s="306"/>
      <c r="AD30" s="306"/>
      <c r="AE30" s="306"/>
      <c r="AF30" s="306"/>
      <c r="AG30" s="303">
        <f t="shared" si="0"/>
        <v>1200000</v>
      </c>
      <c r="AH30" s="36" t="s">
        <v>237</v>
      </c>
      <c r="AI30" s="307"/>
      <c r="AJ30" s="307"/>
      <c r="AK30" s="240" t="s">
        <v>1515</v>
      </c>
      <c r="AL30" s="307"/>
      <c r="AM30" s="36">
        <v>100</v>
      </c>
      <c r="AN30" s="124">
        <f t="shared" si="1"/>
        <v>100</v>
      </c>
    </row>
    <row r="31" spans="1:40" ht="165" x14ac:dyDescent="0.25">
      <c r="A31" s="1285"/>
      <c r="B31" s="1285"/>
      <c r="C31" s="1280"/>
      <c r="D31" s="1285"/>
      <c r="E31" s="1285"/>
      <c r="F31" s="1280"/>
      <c r="G31" s="1282"/>
      <c r="H31" s="1280"/>
      <c r="I31" s="305">
        <v>10</v>
      </c>
      <c r="J31" s="240" t="s">
        <v>1492</v>
      </c>
      <c r="K31" s="240" t="s">
        <v>1504</v>
      </c>
      <c r="L31" s="240" t="s">
        <v>1515</v>
      </c>
      <c r="M31" s="303">
        <v>800000</v>
      </c>
      <c r="N31" s="303" t="s">
        <v>329</v>
      </c>
      <c r="O31" s="42">
        <v>41530</v>
      </c>
      <c r="P31" s="42">
        <v>41591</v>
      </c>
      <c r="Q31" s="42">
        <v>41591</v>
      </c>
      <c r="R31" s="304" t="s">
        <v>1529</v>
      </c>
      <c r="S31" s="303">
        <v>800000</v>
      </c>
      <c r="T31" s="304" t="s">
        <v>1530</v>
      </c>
      <c r="U31" s="303">
        <v>800000</v>
      </c>
      <c r="V31" s="306"/>
      <c r="W31" s="303">
        <v>400000</v>
      </c>
      <c r="X31" s="303">
        <v>400000</v>
      </c>
      <c r="Y31" s="306"/>
      <c r="Z31" s="306"/>
      <c r="AA31" s="306"/>
      <c r="AB31" s="306"/>
      <c r="AC31" s="306"/>
      <c r="AD31" s="306"/>
      <c r="AE31" s="306"/>
      <c r="AF31" s="306"/>
      <c r="AG31" s="303">
        <f t="shared" si="0"/>
        <v>800000</v>
      </c>
      <c r="AH31" s="36" t="s">
        <v>237</v>
      </c>
      <c r="AI31" s="307"/>
      <c r="AJ31" s="307"/>
      <c r="AK31" s="240" t="s">
        <v>1515</v>
      </c>
      <c r="AL31" s="307"/>
      <c r="AM31" s="36">
        <v>100</v>
      </c>
      <c r="AN31" s="124">
        <f t="shared" si="1"/>
        <v>100</v>
      </c>
    </row>
    <row r="32" spans="1:40" ht="165" x14ac:dyDescent="0.25">
      <c r="A32" s="1285"/>
      <c r="B32" s="1285"/>
      <c r="C32" s="1280"/>
      <c r="D32" s="1285"/>
      <c r="E32" s="1285"/>
      <c r="F32" s="1280"/>
      <c r="G32" s="1282"/>
      <c r="H32" s="1280"/>
      <c r="I32" s="305">
        <v>11</v>
      </c>
      <c r="J32" s="240" t="s">
        <v>1493</v>
      </c>
      <c r="K32" s="240" t="s">
        <v>1505</v>
      </c>
      <c r="L32" s="240" t="s">
        <v>1515</v>
      </c>
      <c r="M32" s="303">
        <v>800000</v>
      </c>
      <c r="N32" s="303" t="s">
        <v>329</v>
      </c>
      <c r="O32" s="42">
        <v>41530</v>
      </c>
      <c r="P32" s="42">
        <v>41591</v>
      </c>
      <c r="Q32" s="42">
        <v>41591</v>
      </c>
      <c r="R32" s="304" t="s">
        <v>1531</v>
      </c>
      <c r="S32" s="303">
        <v>800000</v>
      </c>
      <c r="T32" s="304" t="s">
        <v>1532</v>
      </c>
      <c r="U32" s="303">
        <v>800000</v>
      </c>
      <c r="V32" s="306"/>
      <c r="W32" s="303">
        <v>400000</v>
      </c>
      <c r="X32" s="303">
        <v>400000</v>
      </c>
      <c r="Y32" s="306"/>
      <c r="Z32" s="306"/>
      <c r="AA32" s="306"/>
      <c r="AB32" s="306"/>
      <c r="AC32" s="306"/>
      <c r="AD32" s="306"/>
      <c r="AE32" s="306"/>
      <c r="AF32" s="306"/>
      <c r="AG32" s="303">
        <f t="shared" si="0"/>
        <v>800000</v>
      </c>
      <c r="AH32" s="36" t="s">
        <v>237</v>
      </c>
      <c r="AI32" s="307"/>
      <c r="AJ32" s="307"/>
      <c r="AK32" s="240" t="s">
        <v>1515</v>
      </c>
      <c r="AL32" s="307"/>
      <c r="AM32" s="36">
        <v>100</v>
      </c>
      <c r="AN32" s="124">
        <f t="shared" si="1"/>
        <v>100</v>
      </c>
    </row>
    <row r="33" spans="1:40" ht="165" x14ac:dyDescent="0.25">
      <c r="A33" s="1285"/>
      <c r="B33" s="1285"/>
      <c r="C33" s="1280"/>
      <c r="D33" s="1285"/>
      <c r="E33" s="1285"/>
      <c r="F33" s="1280"/>
      <c r="G33" s="1282"/>
      <c r="H33" s="1280"/>
      <c r="I33" s="305">
        <v>12</v>
      </c>
      <c r="J33" s="240" t="s">
        <v>1494</v>
      </c>
      <c r="K33" s="240" t="s">
        <v>1506</v>
      </c>
      <c r="L33" s="240" t="s">
        <v>1515</v>
      </c>
      <c r="M33" s="303">
        <v>1200000</v>
      </c>
      <c r="N33" s="303" t="s">
        <v>329</v>
      </c>
      <c r="O33" s="42">
        <v>41530</v>
      </c>
      <c r="P33" s="42">
        <v>41591</v>
      </c>
      <c r="Q33" s="42">
        <v>41591</v>
      </c>
      <c r="R33" s="304" t="s">
        <v>1533</v>
      </c>
      <c r="S33" s="303">
        <v>1200000</v>
      </c>
      <c r="T33" s="304" t="s">
        <v>1534</v>
      </c>
      <c r="U33" s="303">
        <v>1200000</v>
      </c>
      <c r="V33" s="306"/>
      <c r="W33" s="303">
        <v>1200000</v>
      </c>
      <c r="X33" s="306"/>
      <c r="Y33" s="306"/>
      <c r="Z33" s="306"/>
      <c r="AA33" s="306"/>
      <c r="AB33" s="306"/>
      <c r="AC33" s="306"/>
      <c r="AD33" s="306"/>
      <c r="AE33" s="306"/>
      <c r="AF33" s="306"/>
      <c r="AG33" s="303">
        <f t="shared" si="0"/>
        <v>1200000</v>
      </c>
      <c r="AH33" s="36" t="s">
        <v>237</v>
      </c>
      <c r="AI33" s="307"/>
      <c r="AJ33" s="307"/>
      <c r="AK33" s="240" t="s">
        <v>1515</v>
      </c>
      <c r="AL33" s="307"/>
      <c r="AM33" s="36">
        <v>100</v>
      </c>
      <c r="AN33" s="124">
        <f t="shared" si="1"/>
        <v>100</v>
      </c>
    </row>
    <row r="34" spans="1:40" ht="30" x14ac:dyDescent="0.25">
      <c r="A34" s="1286"/>
      <c r="B34" s="1286"/>
      <c r="C34" s="1099"/>
      <c r="D34" s="1286"/>
      <c r="E34" s="1286"/>
      <c r="F34" s="1099"/>
      <c r="G34" s="1283"/>
      <c r="H34" s="1099"/>
      <c r="I34" s="305">
        <v>13</v>
      </c>
      <c r="J34" s="36" t="s">
        <v>1495</v>
      </c>
      <c r="K34" s="240" t="s">
        <v>1500</v>
      </c>
      <c r="L34" s="240" t="s">
        <v>1507</v>
      </c>
      <c r="M34" s="303">
        <v>1290000</v>
      </c>
      <c r="N34" s="303"/>
      <c r="O34" s="42"/>
      <c r="P34" s="42"/>
      <c r="Q34" s="42"/>
      <c r="R34" s="303"/>
      <c r="S34" s="303"/>
      <c r="T34" s="303"/>
      <c r="U34" s="303"/>
      <c r="V34" s="306"/>
      <c r="W34" s="306">
        <v>1290000</v>
      </c>
      <c r="X34" s="306"/>
      <c r="Y34" s="306"/>
      <c r="Z34" s="306"/>
      <c r="AA34" s="306"/>
      <c r="AB34" s="306"/>
      <c r="AC34" s="306"/>
      <c r="AD34" s="306"/>
      <c r="AE34" s="306"/>
      <c r="AF34" s="306"/>
      <c r="AG34" s="303">
        <f t="shared" si="0"/>
        <v>1290000</v>
      </c>
      <c r="AH34" s="36" t="s">
        <v>237</v>
      </c>
      <c r="AI34" s="307"/>
      <c r="AJ34" s="307"/>
      <c r="AK34" s="240" t="s">
        <v>1507</v>
      </c>
      <c r="AL34" s="307"/>
      <c r="AM34" s="36">
        <v>100</v>
      </c>
      <c r="AN34" s="124">
        <v>100</v>
      </c>
    </row>
    <row r="35" spans="1:40" x14ac:dyDescent="0.25">
      <c r="A35" s="307"/>
      <c r="B35" s="307"/>
      <c r="C35" s="307"/>
      <c r="D35" s="307"/>
      <c r="E35" s="307"/>
      <c r="F35" s="307"/>
      <c r="G35" s="306"/>
      <c r="H35" s="307"/>
      <c r="I35" s="307"/>
      <c r="J35" s="36"/>
      <c r="K35" s="307"/>
      <c r="L35" s="307"/>
      <c r="M35" s="303">
        <f>SUM(M22:M34)</f>
        <v>55562750</v>
      </c>
      <c r="N35" s="303"/>
      <c r="O35" s="42"/>
      <c r="P35" s="42"/>
      <c r="Q35" s="42"/>
      <c r="R35" s="303"/>
      <c r="S35" s="303"/>
      <c r="T35" s="303"/>
      <c r="U35" s="303">
        <f>SUM(U22:U34)</f>
        <v>14800000</v>
      </c>
      <c r="V35" s="306"/>
      <c r="W35" s="306"/>
      <c r="X35" s="306"/>
      <c r="Y35" s="306"/>
      <c r="Z35" s="306"/>
      <c r="AA35" s="306"/>
      <c r="AB35" s="306"/>
      <c r="AC35" s="306"/>
      <c r="AD35" s="306"/>
      <c r="AE35" s="306"/>
      <c r="AF35" s="306"/>
      <c r="AG35" s="303">
        <f>SUM(AG22:AG33)</f>
        <v>52272750</v>
      </c>
      <c r="AH35" s="307"/>
      <c r="AI35" s="307"/>
      <c r="AJ35" s="307"/>
      <c r="AK35" s="307"/>
      <c r="AL35" s="307"/>
      <c r="AM35" s="307">
        <f>SUM(AM22:AM34)/13</f>
        <v>100</v>
      </c>
      <c r="AN35" s="307">
        <f>SUM(AN22:AN34)/13</f>
        <v>100</v>
      </c>
    </row>
    <row r="36" spans="1:40" ht="74.25" customHeight="1" x14ac:dyDescent="0.25">
      <c r="A36" s="1187">
        <v>5</v>
      </c>
      <c r="B36" s="1187" t="s">
        <v>390</v>
      </c>
      <c r="C36" s="1189" t="s">
        <v>1555</v>
      </c>
      <c r="D36" s="1289">
        <v>2013</v>
      </c>
      <c r="E36" s="1289" t="s">
        <v>1536</v>
      </c>
      <c r="F36" s="1163" t="s">
        <v>1535</v>
      </c>
      <c r="G36" s="1290" t="s">
        <v>1554</v>
      </c>
      <c r="H36" s="1163" t="s">
        <v>1537</v>
      </c>
      <c r="I36" s="32">
        <v>1</v>
      </c>
      <c r="J36" s="29" t="s">
        <v>1538</v>
      </c>
      <c r="K36" s="31" t="s">
        <v>1541</v>
      </c>
      <c r="L36" s="29" t="s">
        <v>1544</v>
      </c>
      <c r="M36" s="302">
        <v>44394058</v>
      </c>
      <c r="N36" s="311" t="s">
        <v>1545</v>
      </c>
      <c r="O36" s="33">
        <v>41586</v>
      </c>
      <c r="P36" s="33">
        <v>41639</v>
      </c>
      <c r="Q36" s="33">
        <v>41639</v>
      </c>
      <c r="R36" s="311" t="s">
        <v>1547</v>
      </c>
      <c r="S36" s="302">
        <f>23327625+21066433</f>
        <v>44394058</v>
      </c>
      <c r="T36" s="311" t="s">
        <v>1548</v>
      </c>
      <c r="U36" s="302">
        <f>23327625+21066433</f>
        <v>44394058</v>
      </c>
      <c r="V36" s="312"/>
      <c r="W36" s="302">
        <f>23327625+21066433</f>
        <v>44394058</v>
      </c>
      <c r="X36" s="312"/>
      <c r="Y36" s="312"/>
      <c r="Z36" s="312"/>
      <c r="AA36" s="312"/>
      <c r="AB36" s="312"/>
      <c r="AC36" s="312"/>
      <c r="AD36" s="312"/>
      <c r="AE36" s="312"/>
      <c r="AF36" s="312"/>
      <c r="AG36" s="302">
        <f t="shared" si="0"/>
        <v>44394058</v>
      </c>
      <c r="AH36" s="31" t="s">
        <v>237</v>
      </c>
      <c r="AI36" s="29" t="s">
        <v>1553</v>
      </c>
      <c r="AJ36" s="32"/>
      <c r="AK36" s="483" t="s">
        <v>1544</v>
      </c>
      <c r="AL36" s="32"/>
      <c r="AM36" s="31">
        <v>100</v>
      </c>
      <c r="AN36" s="317">
        <f t="shared" si="1"/>
        <v>100</v>
      </c>
    </row>
    <row r="37" spans="1:40" ht="60" x14ac:dyDescent="0.25">
      <c r="A37" s="1287"/>
      <c r="B37" s="1287"/>
      <c r="C37" s="1288"/>
      <c r="D37" s="1289"/>
      <c r="E37" s="1289"/>
      <c r="F37" s="1163"/>
      <c r="G37" s="1291"/>
      <c r="H37" s="1163"/>
      <c r="I37" s="32">
        <v>2</v>
      </c>
      <c r="J37" s="29" t="s">
        <v>1539</v>
      </c>
      <c r="K37" s="31" t="s">
        <v>1542</v>
      </c>
      <c r="L37" s="29" t="s">
        <v>1544</v>
      </c>
      <c r="M37" s="302">
        <v>18143709</v>
      </c>
      <c r="N37" s="311" t="s">
        <v>1545</v>
      </c>
      <c r="O37" s="33">
        <v>41586</v>
      </c>
      <c r="P37" s="33">
        <v>41639</v>
      </c>
      <c r="Q37" s="33">
        <v>41639</v>
      </c>
      <c r="R37" s="311" t="s">
        <v>1549</v>
      </c>
      <c r="S37" s="302">
        <v>18143709</v>
      </c>
      <c r="T37" s="311" t="s">
        <v>1550</v>
      </c>
      <c r="U37" s="302">
        <v>18143709</v>
      </c>
      <c r="V37" s="312"/>
      <c r="W37" s="302">
        <v>18143709</v>
      </c>
      <c r="X37" s="312"/>
      <c r="Y37" s="312"/>
      <c r="Z37" s="312"/>
      <c r="AA37" s="312"/>
      <c r="AB37" s="312"/>
      <c r="AC37" s="312"/>
      <c r="AD37" s="312"/>
      <c r="AE37" s="312"/>
      <c r="AF37" s="312"/>
      <c r="AG37" s="302">
        <f t="shared" si="0"/>
        <v>18143709</v>
      </c>
      <c r="AH37" s="31" t="s">
        <v>237</v>
      </c>
      <c r="AI37" s="29" t="s">
        <v>1553</v>
      </c>
      <c r="AJ37" s="32"/>
      <c r="AK37" s="483" t="s">
        <v>1544</v>
      </c>
      <c r="AL37" s="32"/>
      <c r="AM37" s="31">
        <v>100</v>
      </c>
      <c r="AN37" s="317">
        <f t="shared" si="1"/>
        <v>100</v>
      </c>
    </row>
    <row r="38" spans="1:40" ht="60" x14ac:dyDescent="0.25">
      <c r="A38" s="1188"/>
      <c r="B38" s="1188"/>
      <c r="C38" s="1190"/>
      <c r="D38" s="1289"/>
      <c r="E38" s="1289"/>
      <c r="F38" s="1163"/>
      <c r="G38" s="1291"/>
      <c r="H38" s="1163"/>
      <c r="I38" s="32">
        <v>3</v>
      </c>
      <c r="J38" s="29" t="s">
        <v>1540</v>
      </c>
      <c r="K38" s="29" t="s">
        <v>1543</v>
      </c>
      <c r="L38" s="29" t="s">
        <v>1544</v>
      </c>
      <c r="M38" s="302">
        <v>30000000</v>
      </c>
      <c r="N38" s="311" t="s">
        <v>1546</v>
      </c>
      <c r="O38" s="33">
        <v>41586</v>
      </c>
      <c r="P38" s="33">
        <v>41639</v>
      </c>
      <c r="Q38" s="33">
        <v>41639</v>
      </c>
      <c r="R38" s="311" t="s">
        <v>1551</v>
      </c>
      <c r="S38" s="302">
        <f>15829460+14295079</f>
        <v>30124539</v>
      </c>
      <c r="T38" s="311" t="s">
        <v>1552</v>
      </c>
      <c r="U38" s="302">
        <f>14295079+15829460</f>
        <v>30124539</v>
      </c>
      <c r="V38" s="312"/>
      <c r="W38" s="302">
        <v>30000000</v>
      </c>
      <c r="X38" s="312"/>
      <c r="Y38" s="312"/>
      <c r="Z38" s="312"/>
      <c r="AA38" s="312"/>
      <c r="AB38" s="312"/>
      <c r="AC38" s="312"/>
      <c r="AD38" s="312"/>
      <c r="AE38" s="312"/>
      <c r="AF38" s="312"/>
      <c r="AG38" s="302">
        <f t="shared" si="0"/>
        <v>30000000</v>
      </c>
      <c r="AH38" s="31" t="s">
        <v>237</v>
      </c>
      <c r="AI38" s="29" t="s">
        <v>1553</v>
      </c>
      <c r="AJ38" s="32"/>
      <c r="AK38" s="483" t="s">
        <v>1544</v>
      </c>
      <c r="AL38" s="32"/>
      <c r="AM38" s="31">
        <v>100</v>
      </c>
      <c r="AN38" s="38">
        <f>(AG38*100)/U38</f>
        <v>99.586586204688473</v>
      </c>
    </row>
    <row r="39" spans="1:40" x14ac:dyDescent="0.25">
      <c r="A39" s="32"/>
      <c r="B39" s="32"/>
      <c r="C39" s="32"/>
      <c r="D39" s="32"/>
      <c r="E39" s="32"/>
      <c r="F39" s="32"/>
      <c r="G39" s="32"/>
      <c r="H39" s="32"/>
      <c r="I39" s="32"/>
      <c r="J39" s="32"/>
      <c r="K39" s="32"/>
      <c r="L39" s="32"/>
      <c r="M39" s="312">
        <f>SUM(M36:M38)</f>
        <v>92537767</v>
      </c>
      <c r="N39" s="32"/>
      <c r="O39" s="32"/>
      <c r="P39" s="32"/>
      <c r="Q39" s="32"/>
      <c r="R39" s="32"/>
      <c r="S39" s="32"/>
      <c r="T39" s="32"/>
      <c r="U39" s="312">
        <f>SUM(U36:U38)</f>
        <v>92662306</v>
      </c>
      <c r="V39" s="32"/>
      <c r="W39" s="32"/>
      <c r="X39" s="32"/>
      <c r="Y39" s="32"/>
      <c r="Z39" s="32"/>
      <c r="AA39" s="32"/>
      <c r="AB39" s="32"/>
      <c r="AC39" s="32"/>
      <c r="AD39" s="32"/>
      <c r="AE39" s="32"/>
      <c r="AF39" s="32"/>
      <c r="AG39" s="316">
        <f>SUM(AG36:AH38)</f>
        <v>92537767</v>
      </c>
      <c r="AH39" s="32"/>
      <c r="AI39" s="32"/>
      <c r="AJ39" s="32"/>
      <c r="AK39" s="32"/>
      <c r="AL39" s="32"/>
      <c r="AM39" s="32">
        <f>SUM(AM36:AM38)/3</f>
        <v>100</v>
      </c>
      <c r="AN39" s="386">
        <f>SUM(AN36:AN38)/3</f>
        <v>99.862195401562829</v>
      </c>
    </row>
    <row r="40" spans="1:40" ht="90" x14ac:dyDescent="0.25">
      <c r="A40" s="282">
        <v>6</v>
      </c>
      <c r="B40" s="282" t="s">
        <v>390</v>
      </c>
      <c r="C40" s="282" t="s">
        <v>1555</v>
      </c>
      <c r="D40" s="282">
        <v>2013</v>
      </c>
      <c r="E40" s="282"/>
      <c r="F40" s="282" t="s">
        <v>1593</v>
      </c>
      <c r="G40" s="318">
        <v>587289000</v>
      </c>
      <c r="H40" s="282" t="s">
        <v>1860</v>
      </c>
      <c r="I40" s="282">
        <v>1</v>
      </c>
      <c r="J40" s="282" t="s">
        <v>1594</v>
      </c>
      <c r="K40" s="282" t="s">
        <v>1595</v>
      </c>
      <c r="L40" s="282" t="s">
        <v>1596</v>
      </c>
      <c r="M40" s="318">
        <v>587288988</v>
      </c>
      <c r="N40" s="282" t="s">
        <v>1597</v>
      </c>
      <c r="O40" s="282" t="s">
        <v>1598</v>
      </c>
      <c r="P40" s="120">
        <v>41639</v>
      </c>
      <c r="Q40" s="120">
        <v>41486</v>
      </c>
      <c r="R40" s="282" t="s">
        <v>1599</v>
      </c>
      <c r="S40" s="318">
        <v>587288988</v>
      </c>
      <c r="T40" s="282" t="s">
        <v>1600</v>
      </c>
      <c r="U40" s="318">
        <v>587288988</v>
      </c>
      <c r="V40" s="318">
        <f>U40*40%</f>
        <v>234915595.20000002</v>
      </c>
      <c r="W40" s="282"/>
      <c r="X40" s="282"/>
      <c r="Y40" s="282"/>
      <c r="Z40" s="282"/>
      <c r="AA40" s="282"/>
      <c r="AB40" s="282"/>
      <c r="AC40" s="282"/>
      <c r="AD40" s="282"/>
      <c r="AE40" s="282"/>
      <c r="AF40" s="282"/>
      <c r="AG40" s="319">
        <f t="shared" si="0"/>
        <v>234915595.20000002</v>
      </c>
      <c r="AH40" s="282" t="s">
        <v>547</v>
      </c>
      <c r="AI40" s="282" t="s">
        <v>1601</v>
      </c>
      <c r="AJ40" s="282"/>
      <c r="AK40" s="282" t="s">
        <v>1596</v>
      </c>
      <c r="AL40" s="282"/>
      <c r="AM40" s="282">
        <v>80</v>
      </c>
      <c r="AN40" s="320">
        <f>(AG40*100)/U40</f>
        <v>40</v>
      </c>
    </row>
  </sheetData>
  <mergeCells count="37">
    <mergeCell ref="D36:D38"/>
    <mergeCell ref="E36:E38"/>
    <mergeCell ref="F36:F38"/>
    <mergeCell ref="G36:G38"/>
    <mergeCell ref="H36:H38"/>
    <mergeCell ref="C22:C34"/>
    <mergeCell ref="B22:B34"/>
    <mergeCell ref="A22:A34"/>
    <mergeCell ref="A36:A38"/>
    <mergeCell ref="B36:B38"/>
    <mergeCell ref="C36:C38"/>
    <mergeCell ref="H22:H34"/>
    <mergeCell ref="G22:G34"/>
    <mergeCell ref="F22:F34"/>
    <mergeCell ref="E22:E34"/>
    <mergeCell ref="D22:D34"/>
    <mergeCell ref="C4:C7"/>
    <mergeCell ref="B4:B7"/>
    <mergeCell ref="A4:A7"/>
    <mergeCell ref="H9:H19"/>
    <mergeCell ref="G9:G19"/>
    <mergeCell ref="F9:F19"/>
    <mergeCell ref="E9:E19"/>
    <mergeCell ref="D9:D19"/>
    <mergeCell ref="C9:C19"/>
    <mergeCell ref="B9:B19"/>
    <mergeCell ref="F4:F7"/>
    <mergeCell ref="G4:G7"/>
    <mergeCell ref="H4:H7"/>
    <mergeCell ref="E4:E7"/>
    <mergeCell ref="D4:D7"/>
    <mergeCell ref="A9:A19"/>
    <mergeCell ref="A2:A3"/>
    <mergeCell ref="B2:E2"/>
    <mergeCell ref="F2:H2"/>
    <mergeCell ref="I2:AJ2"/>
    <mergeCell ref="AK2:AN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N3"/>
  <sheetViews>
    <sheetView workbookViewId="0">
      <selection activeCell="A2" sqref="A2:AN3"/>
    </sheetView>
  </sheetViews>
  <sheetFormatPr baseColWidth="10" defaultRowHeight="15" x14ac:dyDescent="0.25"/>
  <cols>
    <col min="2" max="3" width="14.42578125" customWidth="1"/>
    <col min="5" max="5" width="13" customWidth="1"/>
    <col min="6" max="6" width="24" customWidth="1"/>
    <col min="7" max="7" width="17" customWidth="1"/>
    <col min="8" max="8" width="18.42578125" customWidth="1"/>
    <col min="11" max="11" width="20" customWidth="1"/>
    <col min="12" max="12" width="27.7109375" customWidth="1"/>
    <col min="34" max="34" width="13.5703125" customWidth="1"/>
    <col min="35" max="35" width="17.5703125" customWidth="1"/>
    <col min="36" max="36" width="21.5703125" customWidth="1"/>
    <col min="37" max="37" width="25" customWidth="1"/>
    <col min="38" max="38" width="25.140625" customWidth="1"/>
    <col min="40" max="40" width="15.42578125" customWidth="1"/>
  </cols>
  <sheetData>
    <row r="2" spans="1:40" ht="15.75" x14ac:dyDescent="0.25">
      <c r="A2" s="1035" t="s">
        <v>721</v>
      </c>
      <c r="B2" s="1036" t="s">
        <v>79</v>
      </c>
      <c r="C2" s="1036"/>
      <c r="D2" s="1036"/>
      <c r="E2" s="1036"/>
      <c r="F2" s="1036" t="s">
        <v>80</v>
      </c>
      <c r="G2" s="1036"/>
      <c r="H2" s="1036"/>
      <c r="I2" s="1036" t="s">
        <v>81</v>
      </c>
      <c r="J2" s="1036"/>
      <c r="K2" s="1036"/>
      <c r="L2" s="1036"/>
      <c r="M2" s="1036"/>
      <c r="N2" s="1036"/>
      <c r="O2" s="1036"/>
      <c r="P2" s="1036"/>
      <c r="Q2" s="1036"/>
      <c r="R2" s="1036"/>
      <c r="S2" s="1036"/>
      <c r="T2" s="1036"/>
      <c r="U2" s="1036"/>
      <c r="V2" s="1036"/>
      <c r="W2" s="1036"/>
      <c r="X2" s="1036"/>
      <c r="Y2" s="1036"/>
      <c r="Z2" s="1036"/>
      <c r="AA2" s="1036"/>
      <c r="AB2" s="1036"/>
      <c r="AC2" s="1036"/>
      <c r="AD2" s="1036"/>
      <c r="AE2" s="1036"/>
      <c r="AF2" s="1036"/>
      <c r="AG2" s="1036"/>
      <c r="AH2" s="1036"/>
      <c r="AI2" s="1036"/>
      <c r="AJ2" s="1036"/>
      <c r="AK2" s="1036" t="s">
        <v>80</v>
      </c>
      <c r="AL2" s="1036"/>
      <c r="AM2" s="1036"/>
      <c r="AN2" s="1036"/>
    </row>
    <row r="3" spans="1:40" ht="38.25" x14ac:dyDescent="0.25">
      <c r="A3" s="1035"/>
      <c r="B3" s="267" t="s">
        <v>0</v>
      </c>
      <c r="C3" s="267" t="s">
        <v>6</v>
      </c>
      <c r="D3" s="267" t="s">
        <v>1</v>
      </c>
      <c r="E3" s="267" t="s">
        <v>2</v>
      </c>
      <c r="F3" s="267" t="s">
        <v>3</v>
      </c>
      <c r="G3" s="290" t="s">
        <v>4</v>
      </c>
      <c r="H3" s="267" t="s">
        <v>5</v>
      </c>
      <c r="I3" s="308" t="s">
        <v>721</v>
      </c>
      <c r="J3" s="267" t="s">
        <v>7</v>
      </c>
      <c r="K3" s="267" t="s">
        <v>8</v>
      </c>
      <c r="L3" s="267" t="s">
        <v>9</v>
      </c>
      <c r="M3" s="268" t="s">
        <v>11</v>
      </c>
      <c r="N3" s="267" t="s">
        <v>10</v>
      </c>
      <c r="O3" s="267" t="s">
        <v>12</v>
      </c>
      <c r="P3" s="267" t="s">
        <v>13</v>
      </c>
      <c r="Q3" s="267" t="s">
        <v>14</v>
      </c>
      <c r="R3" s="267" t="s">
        <v>15</v>
      </c>
      <c r="S3" s="268" t="s">
        <v>28</v>
      </c>
      <c r="T3" s="267" t="s">
        <v>16</v>
      </c>
      <c r="U3" s="269" t="s">
        <v>133</v>
      </c>
      <c r="V3" s="268" t="s">
        <v>263</v>
      </c>
      <c r="W3" s="268" t="s">
        <v>17</v>
      </c>
      <c r="X3" s="268" t="s">
        <v>18</v>
      </c>
      <c r="Y3" s="268" t="s">
        <v>280</v>
      </c>
      <c r="Z3" s="268" t="s">
        <v>281</v>
      </c>
      <c r="AA3" s="268" t="s">
        <v>282</v>
      </c>
      <c r="AB3" s="268" t="s">
        <v>283</v>
      </c>
      <c r="AC3" s="268" t="s">
        <v>284</v>
      </c>
      <c r="AD3" s="268" t="s">
        <v>285</v>
      </c>
      <c r="AE3" s="268" t="s">
        <v>286</v>
      </c>
      <c r="AF3" s="268" t="s">
        <v>287</v>
      </c>
      <c r="AG3" s="268" t="s">
        <v>19</v>
      </c>
      <c r="AH3" s="267" t="s">
        <v>20</v>
      </c>
      <c r="AI3" s="267" t="s">
        <v>21</v>
      </c>
      <c r="AJ3" s="267" t="s">
        <v>22</v>
      </c>
      <c r="AK3" s="267" t="s">
        <v>23</v>
      </c>
      <c r="AL3" s="267" t="s">
        <v>24</v>
      </c>
      <c r="AM3" s="270" t="s">
        <v>33</v>
      </c>
      <c r="AN3" s="270" t="s">
        <v>32</v>
      </c>
    </row>
  </sheetData>
  <mergeCells count="5">
    <mergeCell ref="A2:A3"/>
    <mergeCell ref="B2:E2"/>
    <mergeCell ref="F2:H2"/>
    <mergeCell ref="I2:AJ2"/>
    <mergeCell ref="AK2:AN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N36"/>
  <sheetViews>
    <sheetView zoomScale="80" zoomScaleNormal="80" workbookViewId="0">
      <selection activeCell="A4" sqref="A4:AN27"/>
    </sheetView>
  </sheetViews>
  <sheetFormatPr baseColWidth="10" defaultRowHeight="15" x14ac:dyDescent="0.25"/>
  <cols>
    <col min="2" max="2" width="16.28515625" customWidth="1"/>
    <col min="3" max="3" width="19.85546875" customWidth="1"/>
    <col min="4" max="4" width="11.28515625" customWidth="1"/>
    <col min="5" max="5" width="21.5703125" customWidth="1"/>
    <col min="6" max="6" width="30.28515625" customWidth="1"/>
    <col min="7" max="7" width="16.28515625" customWidth="1"/>
    <col min="8" max="8" width="22" customWidth="1"/>
    <col min="11" max="11" width="22.140625" customWidth="1"/>
    <col min="12" max="12" width="79.5703125" customWidth="1"/>
    <col min="13" max="13" width="16.140625" bestFit="1" customWidth="1"/>
    <col min="16" max="16" width="16" customWidth="1"/>
    <col min="17" max="17" width="17.5703125" customWidth="1"/>
    <col min="19" max="19" width="16.140625" bestFit="1" customWidth="1"/>
    <col min="21" max="21" width="16.140625" bestFit="1" customWidth="1"/>
    <col min="23" max="25" width="16.140625" bestFit="1" customWidth="1"/>
    <col min="26" max="26" width="17.140625" customWidth="1"/>
    <col min="27" max="27" width="15.85546875" customWidth="1"/>
    <col min="28" max="28" width="16.7109375" customWidth="1"/>
    <col min="29" max="29" width="15.7109375" customWidth="1"/>
    <col min="33" max="33" width="17.5703125" customWidth="1"/>
    <col min="34" max="34" width="12.5703125" customWidth="1"/>
    <col min="35" max="35" width="17.7109375" customWidth="1"/>
    <col min="36" max="36" width="32.7109375" customWidth="1"/>
    <col min="37" max="37" width="72.28515625" customWidth="1"/>
    <col min="38" max="38" width="44.42578125" customWidth="1"/>
    <col min="39" max="39" width="9.28515625" customWidth="1"/>
    <col min="40" max="40" width="13" customWidth="1"/>
  </cols>
  <sheetData>
    <row r="2" spans="1:40" ht="15.75" x14ac:dyDescent="0.25">
      <c r="A2" s="1310" t="s">
        <v>721</v>
      </c>
      <c r="B2" s="1312" t="s">
        <v>79</v>
      </c>
      <c r="C2" s="1313"/>
      <c r="D2" s="1313"/>
      <c r="E2" s="1314"/>
      <c r="F2" s="1312" t="s">
        <v>80</v>
      </c>
      <c r="G2" s="1313"/>
      <c r="H2" s="1314"/>
      <c r="I2" s="1312" t="s">
        <v>81</v>
      </c>
      <c r="J2" s="1313"/>
      <c r="K2" s="1313"/>
      <c r="L2" s="1313"/>
      <c r="M2" s="1313"/>
      <c r="N2" s="1313"/>
      <c r="O2" s="1313"/>
      <c r="P2" s="1313"/>
      <c r="Q2" s="1313"/>
      <c r="R2" s="1313"/>
      <c r="S2" s="1313"/>
      <c r="T2" s="1313"/>
      <c r="U2" s="1313"/>
      <c r="V2" s="1313"/>
      <c r="W2" s="1313"/>
      <c r="X2" s="1313"/>
      <c r="Y2" s="1313"/>
      <c r="Z2" s="1313"/>
      <c r="AA2" s="1313"/>
      <c r="AB2" s="1313"/>
      <c r="AC2" s="1313"/>
      <c r="AD2" s="1313"/>
      <c r="AE2" s="1313"/>
      <c r="AF2" s="1313"/>
      <c r="AG2" s="1313"/>
      <c r="AH2" s="1313"/>
      <c r="AI2" s="1313"/>
      <c r="AJ2" s="1314"/>
      <c r="AK2" s="1312" t="s">
        <v>80</v>
      </c>
      <c r="AL2" s="1313"/>
      <c r="AM2" s="1313"/>
      <c r="AN2" s="1314"/>
    </row>
    <row r="3" spans="1:40" ht="38.25" x14ac:dyDescent="0.25">
      <c r="A3" s="1311"/>
      <c r="B3" s="267" t="s">
        <v>0</v>
      </c>
      <c r="C3" s="267" t="s">
        <v>6</v>
      </c>
      <c r="D3" s="267" t="s">
        <v>1</v>
      </c>
      <c r="E3" s="267" t="s">
        <v>2</v>
      </c>
      <c r="F3" s="267" t="s">
        <v>3</v>
      </c>
      <c r="G3" s="290" t="s">
        <v>4</v>
      </c>
      <c r="H3" s="267" t="s">
        <v>5</v>
      </c>
      <c r="I3" s="308" t="s">
        <v>721</v>
      </c>
      <c r="J3" s="267" t="s">
        <v>7</v>
      </c>
      <c r="K3" s="267" t="s">
        <v>8</v>
      </c>
      <c r="L3" s="267" t="s">
        <v>9</v>
      </c>
      <c r="M3" s="268" t="s">
        <v>11</v>
      </c>
      <c r="N3" s="267" t="s">
        <v>10</v>
      </c>
      <c r="O3" s="267" t="s">
        <v>12</v>
      </c>
      <c r="P3" s="267" t="s">
        <v>13</v>
      </c>
      <c r="Q3" s="267" t="s">
        <v>14</v>
      </c>
      <c r="R3" s="267" t="s">
        <v>15</v>
      </c>
      <c r="S3" s="268" t="s">
        <v>28</v>
      </c>
      <c r="T3" s="267" t="s">
        <v>16</v>
      </c>
      <c r="U3" s="269" t="s">
        <v>133</v>
      </c>
      <c r="V3" s="268" t="s">
        <v>263</v>
      </c>
      <c r="W3" s="268" t="s">
        <v>17</v>
      </c>
      <c r="X3" s="268" t="s">
        <v>18</v>
      </c>
      <c r="Y3" s="268" t="s">
        <v>280</v>
      </c>
      <c r="Z3" s="268" t="s">
        <v>281</v>
      </c>
      <c r="AA3" s="268" t="s">
        <v>282</v>
      </c>
      <c r="AB3" s="268" t="s">
        <v>283</v>
      </c>
      <c r="AC3" s="268" t="s">
        <v>284</v>
      </c>
      <c r="AD3" s="268" t="s">
        <v>285</v>
      </c>
      <c r="AE3" s="268" t="s">
        <v>286</v>
      </c>
      <c r="AF3" s="268" t="s">
        <v>287</v>
      </c>
      <c r="AG3" s="268" t="s">
        <v>19</v>
      </c>
      <c r="AH3" s="267" t="s">
        <v>20</v>
      </c>
      <c r="AI3" s="267" t="s">
        <v>21</v>
      </c>
      <c r="AJ3" s="267" t="s">
        <v>22</v>
      </c>
      <c r="AK3" s="267" t="s">
        <v>23</v>
      </c>
      <c r="AL3" s="267" t="s">
        <v>24</v>
      </c>
      <c r="AM3" s="270" t="s">
        <v>33</v>
      </c>
      <c r="AN3" s="270" t="s">
        <v>32</v>
      </c>
    </row>
    <row r="4" spans="1:40" ht="147.75" customHeight="1" x14ac:dyDescent="0.25">
      <c r="A4" s="1304">
        <v>1</v>
      </c>
      <c r="B4" s="1304" t="s">
        <v>390</v>
      </c>
      <c r="C4" s="1304" t="s">
        <v>1592</v>
      </c>
      <c r="D4" s="1304">
        <v>2013</v>
      </c>
      <c r="E4" s="1304" t="s">
        <v>1591</v>
      </c>
      <c r="F4" s="1304" t="s">
        <v>1589</v>
      </c>
      <c r="G4" s="1307">
        <v>284121000</v>
      </c>
      <c r="H4" s="1304" t="s">
        <v>1590</v>
      </c>
      <c r="I4" s="37">
        <v>1</v>
      </c>
      <c r="J4" s="37" t="s">
        <v>1556</v>
      </c>
      <c r="K4" s="37" t="s">
        <v>1560</v>
      </c>
      <c r="L4" s="37" t="s">
        <v>1568</v>
      </c>
      <c r="M4" s="484">
        <v>9900000</v>
      </c>
      <c r="N4" s="37" t="s">
        <v>329</v>
      </c>
      <c r="O4" s="39">
        <v>41568</v>
      </c>
      <c r="P4" s="39">
        <v>41639</v>
      </c>
      <c r="Q4" s="39">
        <v>41639</v>
      </c>
      <c r="R4" s="37" t="s">
        <v>1573</v>
      </c>
      <c r="S4" s="484">
        <v>13200000</v>
      </c>
      <c r="T4" s="37" t="s">
        <v>1574</v>
      </c>
      <c r="U4" s="484">
        <v>9900000</v>
      </c>
      <c r="V4" s="37"/>
      <c r="W4" s="484">
        <v>3960000</v>
      </c>
      <c r="X4" s="484">
        <v>3960000</v>
      </c>
      <c r="Y4" s="484">
        <v>1980000</v>
      </c>
      <c r="Z4" s="484"/>
      <c r="AA4" s="484"/>
      <c r="AB4" s="484"/>
      <c r="AC4" s="484"/>
      <c r="AD4" s="484"/>
      <c r="AE4" s="484"/>
      <c r="AF4" s="484"/>
      <c r="AG4" s="484">
        <f t="shared" ref="AG4:AG8" si="0">SUM(V4:AF4)</f>
        <v>9900000</v>
      </c>
      <c r="AH4" s="37" t="s">
        <v>237</v>
      </c>
      <c r="AI4" s="37" t="s">
        <v>1587</v>
      </c>
      <c r="AJ4" s="37"/>
      <c r="AK4" s="37" t="s">
        <v>1732</v>
      </c>
      <c r="AL4" s="37" t="s">
        <v>1733</v>
      </c>
      <c r="AM4" s="37">
        <v>100</v>
      </c>
      <c r="AN4" s="485">
        <f t="shared" ref="AN4:AN9" si="1">(AG4*100)/U4</f>
        <v>100</v>
      </c>
    </row>
    <row r="5" spans="1:40" ht="144" customHeight="1" x14ac:dyDescent="0.25">
      <c r="A5" s="1305"/>
      <c r="B5" s="1305"/>
      <c r="C5" s="1305"/>
      <c r="D5" s="1305"/>
      <c r="E5" s="1305"/>
      <c r="F5" s="1305"/>
      <c r="G5" s="1308"/>
      <c r="H5" s="1305"/>
      <c r="I5" s="37">
        <v>2</v>
      </c>
      <c r="J5" s="37" t="s">
        <v>1557</v>
      </c>
      <c r="K5" s="37" t="s">
        <v>1561</v>
      </c>
      <c r="L5" s="37" t="s">
        <v>1569</v>
      </c>
      <c r="M5" s="484">
        <v>9000000</v>
      </c>
      <c r="N5" s="37" t="s">
        <v>329</v>
      </c>
      <c r="O5" s="39">
        <v>41568</v>
      </c>
      <c r="P5" s="39">
        <v>41639</v>
      </c>
      <c r="Q5" s="39">
        <v>41639</v>
      </c>
      <c r="R5" s="37" t="s">
        <v>1575</v>
      </c>
      <c r="S5" s="484">
        <v>12000000</v>
      </c>
      <c r="T5" s="37" t="s">
        <v>1576</v>
      </c>
      <c r="U5" s="484">
        <v>9000000</v>
      </c>
      <c r="V5" s="37"/>
      <c r="W5" s="484">
        <v>3600000</v>
      </c>
      <c r="X5" s="484">
        <v>3600000</v>
      </c>
      <c r="Y5" s="484">
        <v>1800000</v>
      </c>
      <c r="Z5" s="484"/>
      <c r="AA5" s="484"/>
      <c r="AB5" s="484"/>
      <c r="AC5" s="484"/>
      <c r="AD5" s="484"/>
      <c r="AE5" s="484"/>
      <c r="AF5" s="484"/>
      <c r="AG5" s="484">
        <f t="shared" si="0"/>
        <v>9000000</v>
      </c>
      <c r="AH5" s="37" t="s">
        <v>173</v>
      </c>
      <c r="AI5" s="37" t="s">
        <v>1587</v>
      </c>
      <c r="AJ5" s="37" t="s">
        <v>1588</v>
      </c>
      <c r="AK5" s="37" t="s">
        <v>1734</v>
      </c>
      <c r="AL5" s="37" t="s">
        <v>1735</v>
      </c>
      <c r="AM5" s="37">
        <v>100</v>
      </c>
      <c r="AN5" s="485">
        <f t="shared" si="1"/>
        <v>100</v>
      </c>
    </row>
    <row r="6" spans="1:40" ht="150" x14ac:dyDescent="0.25">
      <c r="A6" s="1305"/>
      <c r="B6" s="1305"/>
      <c r="C6" s="1305"/>
      <c r="D6" s="1305"/>
      <c r="E6" s="1305"/>
      <c r="F6" s="1305"/>
      <c r="G6" s="1308"/>
      <c r="H6" s="1305"/>
      <c r="I6" s="37">
        <v>3</v>
      </c>
      <c r="J6" s="37" t="s">
        <v>1558</v>
      </c>
      <c r="K6" s="37" t="s">
        <v>1562</v>
      </c>
      <c r="L6" s="37" t="s">
        <v>1570</v>
      </c>
      <c r="M6" s="484">
        <v>9000000</v>
      </c>
      <c r="N6" s="37" t="s">
        <v>329</v>
      </c>
      <c r="O6" s="39">
        <v>41568</v>
      </c>
      <c r="P6" s="39">
        <v>41639</v>
      </c>
      <c r="Q6" s="39">
        <v>41639</v>
      </c>
      <c r="R6" s="37" t="s">
        <v>1579</v>
      </c>
      <c r="S6" s="484">
        <v>12000000</v>
      </c>
      <c r="T6" s="37" t="s">
        <v>1580</v>
      </c>
      <c r="U6" s="484">
        <v>9000000</v>
      </c>
      <c r="V6" s="37"/>
      <c r="W6" s="484">
        <v>3600000</v>
      </c>
      <c r="X6" s="484">
        <v>3600000</v>
      </c>
      <c r="Y6" s="484">
        <v>1800000</v>
      </c>
      <c r="Z6" s="484"/>
      <c r="AA6" s="484"/>
      <c r="AB6" s="484"/>
      <c r="AC6" s="484"/>
      <c r="AD6" s="484"/>
      <c r="AE6" s="484"/>
      <c r="AF6" s="484"/>
      <c r="AG6" s="484">
        <f t="shared" si="0"/>
        <v>9000000</v>
      </c>
      <c r="AH6" s="37" t="s">
        <v>237</v>
      </c>
      <c r="AI6" s="37" t="s">
        <v>1587</v>
      </c>
      <c r="AJ6" s="37"/>
      <c r="AK6" s="37" t="s">
        <v>1741</v>
      </c>
      <c r="AL6" s="37" t="s">
        <v>1742</v>
      </c>
      <c r="AM6" s="37">
        <v>100</v>
      </c>
      <c r="AN6" s="485">
        <f t="shared" si="1"/>
        <v>100</v>
      </c>
    </row>
    <row r="7" spans="1:40" ht="150" x14ac:dyDescent="0.25">
      <c r="A7" s="1305"/>
      <c r="B7" s="1305"/>
      <c r="C7" s="1305"/>
      <c r="D7" s="1305"/>
      <c r="E7" s="1305"/>
      <c r="F7" s="1305"/>
      <c r="G7" s="1308"/>
      <c r="H7" s="1305"/>
      <c r="I7" s="37">
        <v>4</v>
      </c>
      <c r="J7" s="37" t="s">
        <v>1559</v>
      </c>
      <c r="K7" s="37" t="s">
        <v>1563</v>
      </c>
      <c r="L7" s="37" t="s">
        <v>1577</v>
      </c>
      <c r="M7" s="484">
        <v>9000000</v>
      </c>
      <c r="N7" s="37" t="s">
        <v>329</v>
      </c>
      <c r="O7" s="39">
        <v>41568</v>
      </c>
      <c r="P7" s="39">
        <v>41639</v>
      </c>
      <c r="Q7" s="39">
        <v>41639</v>
      </c>
      <c r="R7" s="37" t="s">
        <v>1581</v>
      </c>
      <c r="S7" s="484">
        <v>12000000</v>
      </c>
      <c r="T7" s="37" t="s">
        <v>1582</v>
      </c>
      <c r="U7" s="484">
        <v>9000000</v>
      </c>
      <c r="V7" s="37"/>
      <c r="W7" s="484">
        <v>3600000</v>
      </c>
      <c r="X7" s="484">
        <v>3600000</v>
      </c>
      <c r="Y7" s="484">
        <v>1800000</v>
      </c>
      <c r="Z7" s="484"/>
      <c r="AA7" s="484"/>
      <c r="AB7" s="484"/>
      <c r="AC7" s="484"/>
      <c r="AD7" s="484"/>
      <c r="AE7" s="484"/>
      <c r="AF7" s="484"/>
      <c r="AG7" s="484">
        <f t="shared" si="0"/>
        <v>9000000</v>
      </c>
      <c r="AH7" s="37" t="s">
        <v>237</v>
      </c>
      <c r="AI7" s="37" t="s">
        <v>1587</v>
      </c>
      <c r="AJ7" s="37"/>
      <c r="AK7" s="37" t="s">
        <v>1737</v>
      </c>
      <c r="AL7" s="37" t="s">
        <v>1738</v>
      </c>
      <c r="AM7" s="37">
        <v>100</v>
      </c>
      <c r="AN7" s="485">
        <f t="shared" si="1"/>
        <v>100</v>
      </c>
    </row>
    <row r="8" spans="1:40" ht="150" x14ac:dyDescent="0.25">
      <c r="A8" s="1305"/>
      <c r="B8" s="1305"/>
      <c r="C8" s="1305"/>
      <c r="D8" s="1305"/>
      <c r="E8" s="1305"/>
      <c r="F8" s="1305"/>
      <c r="G8" s="1308"/>
      <c r="H8" s="1305"/>
      <c r="I8" s="37">
        <v>5</v>
      </c>
      <c r="J8" s="37" t="s">
        <v>1564</v>
      </c>
      <c r="K8" s="37" t="s">
        <v>1566</v>
      </c>
      <c r="L8" s="37" t="s">
        <v>1571</v>
      </c>
      <c r="M8" s="484">
        <v>9900000</v>
      </c>
      <c r="N8" s="37" t="s">
        <v>329</v>
      </c>
      <c r="O8" s="39">
        <v>41570</v>
      </c>
      <c r="P8" s="39">
        <v>41639</v>
      </c>
      <c r="Q8" s="39">
        <v>41639</v>
      </c>
      <c r="R8" s="37" t="s">
        <v>1583</v>
      </c>
      <c r="S8" s="484">
        <v>13200000</v>
      </c>
      <c r="T8" s="37" t="s">
        <v>1585</v>
      </c>
      <c r="U8" s="484">
        <v>9900000</v>
      </c>
      <c r="V8" s="37"/>
      <c r="W8" s="484">
        <v>3960000</v>
      </c>
      <c r="X8" s="484">
        <v>3960000</v>
      </c>
      <c r="Y8" s="484">
        <v>1980000</v>
      </c>
      <c r="Z8" s="484"/>
      <c r="AA8" s="484"/>
      <c r="AB8" s="484"/>
      <c r="AC8" s="484"/>
      <c r="AD8" s="484"/>
      <c r="AE8" s="484"/>
      <c r="AF8" s="484"/>
      <c r="AG8" s="484">
        <f t="shared" si="0"/>
        <v>9900000</v>
      </c>
      <c r="AH8" s="37" t="s">
        <v>237</v>
      </c>
      <c r="AI8" s="37" t="s">
        <v>1587</v>
      </c>
      <c r="AJ8" s="37"/>
      <c r="AK8" s="37" t="s">
        <v>1736</v>
      </c>
      <c r="AL8" s="37" t="s">
        <v>1736</v>
      </c>
      <c r="AM8" s="37">
        <v>100</v>
      </c>
      <c r="AN8" s="485">
        <f t="shared" si="1"/>
        <v>100</v>
      </c>
    </row>
    <row r="9" spans="1:40" ht="150" x14ac:dyDescent="0.25">
      <c r="A9" s="1306"/>
      <c r="B9" s="1306"/>
      <c r="C9" s="1306"/>
      <c r="D9" s="1306"/>
      <c r="E9" s="1306"/>
      <c r="F9" s="1306"/>
      <c r="G9" s="1309"/>
      <c r="H9" s="1306"/>
      <c r="I9" s="37">
        <v>6</v>
      </c>
      <c r="J9" s="37" t="s">
        <v>1565</v>
      </c>
      <c r="K9" s="37" t="s">
        <v>1567</v>
      </c>
      <c r="L9" s="37" t="s">
        <v>1578</v>
      </c>
      <c r="M9" s="484">
        <v>6000000</v>
      </c>
      <c r="N9" s="37" t="s">
        <v>1572</v>
      </c>
      <c r="O9" s="39">
        <v>41584</v>
      </c>
      <c r="P9" s="39">
        <v>41639</v>
      </c>
      <c r="Q9" s="39">
        <v>41639</v>
      </c>
      <c r="R9" s="37" t="s">
        <v>1584</v>
      </c>
      <c r="S9" s="484">
        <v>6000000</v>
      </c>
      <c r="T9" s="37" t="s">
        <v>1586</v>
      </c>
      <c r="U9" s="484">
        <v>6000000</v>
      </c>
      <c r="V9" s="37"/>
      <c r="W9" s="484">
        <v>3000000</v>
      </c>
      <c r="X9" s="484">
        <v>3000000</v>
      </c>
      <c r="Y9" s="484"/>
      <c r="Z9" s="484"/>
      <c r="AA9" s="484"/>
      <c r="AB9" s="484"/>
      <c r="AC9" s="484"/>
      <c r="AD9" s="484"/>
      <c r="AE9" s="484"/>
      <c r="AF9" s="484"/>
      <c r="AG9" s="484">
        <f>SUM(V9:AF9)</f>
        <v>6000000</v>
      </c>
      <c r="AH9" s="37" t="s">
        <v>237</v>
      </c>
      <c r="AI9" s="37" t="s">
        <v>1587</v>
      </c>
      <c r="AJ9" s="37"/>
      <c r="AK9" s="37" t="s">
        <v>1739</v>
      </c>
      <c r="AL9" s="37" t="s">
        <v>1740</v>
      </c>
      <c r="AM9" s="37">
        <v>100</v>
      </c>
      <c r="AN9" s="485">
        <f t="shared" si="1"/>
        <v>100</v>
      </c>
    </row>
    <row r="10" spans="1:40" x14ac:dyDescent="0.25">
      <c r="A10" s="486"/>
      <c r="B10" s="486"/>
      <c r="C10" s="486"/>
      <c r="D10" s="486"/>
      <c r="E10" s="486"/>
      <c r="F10" s="486"/>
      <c r="G10" s="486"/>
      <c r="H10" s="486"/>
      <c r="I10" s="486"/>
      <c r="J10" s="486"/>
      <c r="K10" s="486"/>
      <c r="L10" s="486"/>
      <c r="M10" s="487">
        <f>SUM(M4:M9)</f>
        <v>52800000</v>
      </c>
      <c r="N10" s="486"/>
      <c r="O10" s="486"/>
      <c r="P10" s="486"/>
      <c r="Q10" s="486"/>
      <c r="R10" s="486"/>
      <c r="S10" s="486"/>
      <c r="T10" s="486"/>
      <c r="U10" s="487">
        <f>SUM(U4:U9)</f>
        <v>52800000</v>
      </c>
      <c r="V10" s="486"/>
      <c r="W10" s="487"/>
      <c r="X10" s="487"/>
      <c r="Y10" s="487"/>
      <c r="Z10" s="487"/>
      <c r="AA10" s="487"/>
      <c r="AB10" s="487"/>
      <c r="AC10" s="487"/>
      <c r="AD10" s="487"/>
      <c r="AE10" s="487"/>
      <c r="AF10" s="487"/>
      <c r="AG10" s="487">
        <f>SUM(AG4:AG9)</f>
        <v>52800000</v>
      </c>
      <c r="AH10" s="486"/>
      <c r="AI10" s="486"/>
      <c r="AJ10" s="486"/>
      <c r="AK10" s="486"/>
      <c r="AL10" s="486"/>
      <c r="AM10" s="486">
        <f>SUM(AM4:AM9)/6</f>
        <v>100</v>
      </c>
      <c r="AN10" s="488">
        <f>SUM(AN4:AN9)/6</f>
        <v>100</v>
      </c>
    </row>
    <row r="11" spans="1:40" ht="75" x14ac:dyDescent="0.25">
      <c r="A11" s="1295"/>
      <c r="B11" s="1292" t="s">
        <v>386</v>
      </c>
      <c r="C11" s="1292" t="s">
        <v>1792</v>
      </c>
      <c r="D11" s="1295">
        <v>2013</v>
      </c>
      <c r="E11" s="1292" t="s">
        <v>1771</v>
      </c>
      <c r="F11" s="1301" t="s">
        <v>1697</v>
      </c>
      <c r="G11" s="1298">
        <v>140800000</v>
      </c>
      <c r="H11" s="1292" t="s">
        <v>1772</v>
      </c>
      <c r="I11" s="504">
        <v>1</v>
      </c>
      <c r="J11" s="400" t="s">
        <v>1776</v>
      </c>
      <c r="K11" s="400" t="s">
        <v>1788</v>
      </c>
      <c r="L11" s="400" t="s">
        <v>1790</v>
      </c>
      <c r="M11" s="428">
        <v>18000000</v>
      </c>
      <c r="N11" s="400" t="s">
        <v>342</v>
      </c>
      <c r="O11" s="505">
        <v>41463</v>
      </c>
      <c r="P11" s="505">
        <v>41639</v>
      </c>
      <c r="Q11" s="505">
        <v>41639</v>
      </c>
      <c r="R11" s="400" t="s">
        <v>1778</v>
      </c>
      <c r="S11" s="428">
        <v>18000000</v>
      </c>
      <c r="T11" s="400" t="s">
        <v>1781</v>
      </c>
      <c r="U11" s="428">
        <v>18000000</v>
      </c>
      <c r="V11" s="400"/>
      <c r="W11" s="427">
        <v>3000000</v>
      </c>
      <c r="X11" s="427">
        <v>3000000</v>
      </c>
      <c r="Y11" s="427">
        <v>3000000</v>
      </c>
      <c r="Z11" s="427">
        <v>3000000</v>
      </c>
      <c r="AA11" s="427">
        <v>3000000</v>
      </c>
      <c r="AB11" s="427">
        <v>3000000</v>
      </c>
      <c r="AC11" s="427"/>
      <c r="AD11" s="427"/>
      <c r="AE11" s="427"/>
      <c r="AF11" s="427"/>
      <c r="AG11" s="427">
        <f t="shared" ref="AG11:AG19" si="2">SUM(V11:AF11)</f>
        <v>18000000</v>
      </c>
      <c r="AH11" s="400" t="s">
        <v>237</v>
      </c>
      <c r="AI11" s="400" t="s">
        <v>1787</v>
      </c>
      <c r="AJ11" s="400"/>
      <c r="AK11" s="400"/>
      <c r="AL11" s="400"/>
      <c r="AM11" s="400">
        <v>100</v>
      </c>
      <c r="AN11" s="400">
        <v>100</v>
      </c>
    </row>
    <row r="12" spans="1:40" ht="60" x14ac:dyDescent="0.25">
      <c r="A12" s="1296"/>
      <c r="B12" s="1293"/>
      <c r="C12" s="1293"/>
      <c r="D12" s="1296"/>
      <c r="E12" s="1293"/>
      <c r="F12" s="1302"/>
      <c r="G12" s="1299"/>
      <c r="H12" s="1293"/>
      <c r="I12" s="502">
        <v>2</v>
      </c>
      <c r="J12" s="400" t="s">
        <v>1773</v>
      </c>
      <c r="K12" s="400" t="s">
        <v>1775</v>
      </c>
      <c r="L12" s="400" t="s">
        <v>1777</v>
      </c>
      <c r="M12" s="428">
        <v>19800000</v>
      </c>
      <c r="N12" s="400" t="s">
        <v>342</v>
      </c>
      <c r="O12" s="505">
        <v>41465</v>
      </c>
      <c r="P12" s="505">
        <v>41639</v>
      </c>
      <c r="Q12" s="505">
        <v>41639</v>
      </c>
      <c r="R12" s="428" t="s">
        <v>1779</v>
      </c>
      <c r="S12" s="428">
        <v>19800000</v>
      </c>
      <c r="T12" s="400" t="s">
        <v>1782</v>
      </c>
      <c r="U12" s="428">
        <v>19800000</v>
      </c>
      <c r="V12" s="400"/>
      <c r="W12" s="427">
        <f>U12/6</f>
        <v>3300000</v>
      </c>
      <c r="X12" s="427">
        <v>3300000</v>
      </c>
      <c r="Y12" s="427">
        <v>3300000</v>
      </c>
      <c r="Z12" s="427">
        <v>3300000</v>
      </c>
      <c r="AA12" s="427">
        <v>3300000</v>
      </c>
      <c r="AB12" s="427">
        <v>3300000</v>
      </c>
      <c r="AC12" s="427"/>
      <c r="AD12" s="427"/>
      <c r="AE12" s="427"/>
      <c r="AF12" s="427"/>
      <c r="AG12" s="427">
        <f t="shared" si="2"/>
        <v>19800000</v>
      </c>
      <c r="AH12" s="400" t="s">
        <v>237</v>
      </c>
      <c r="AI12" s="400" t="s">
        <v>1784</v>
      </c>
      <c r="AJ12" s="400"/>
      <c r="AK12" s="400"/>
      <c r="AL12" s="400"/>
      <c r="AM12" s="400">
        <v>100</v>
      </c>
      <c r="AN12" s="400">
        <v>100</v>
      </c>
    </row>
    <row r="13" spans="1:40" ht="75" x14ac:dyDescent="0.25">
      <c r="A13" s="1297"/>
      <c r="B13" s="1294"/>
      <c r="C13" s="1294"/>
      <c r="D13" s="1297"/>
      <c r="E13" s="1294"/>
      <c r="F13" s="1303"/>
      <c r="G13" s="1300"/>
      <c r="H13" s="1294"/>
      <c r="I13" s="502">
        <v>3</v>
      </c>
      <c r="J13" s="400" t="s">
        <v>1774</v>
      </c>
      <c r="K13" s="400" t="s">
        <v>1786</v>
      </c>
      <c r="L13" s="400" t="s">
        <v>1789</v>
      </c>
      <c r="M13" s="428">
        <v>12000000</v>
      </c>
      <c r="N13" s="400" t="s">
        <v>350</v>
      </c>
      <c r="O13" s="505">
        <v>41522</v>
      </c>
      <c r="P13" s="505">
        <v>41639</v>
      </c>
      <c r="Q13" s="505">
        <v>41639</v>
      </c>
      <c r="R13" s="428" t="s">
        <v>1780</v>
      </c>
      <c r="S13" s="503">
        <v>12000000</v>
      </c>
      <c r="T13" s="400" t="s">
        <v>1783</v>
      </c>
      <c r="U13" s="428">
        <v>12000000</v>
      </c>
      <c r="V13" s="400"/>
      <c r="W13" s="427">
        <v>3000000</v>
      </c>
      <c r="X13" s="427">
        <v>3000000</v>
      </c>
      <c r="Y13" s="427">
        <v>3000000</v>
      </c>
      <c r="Z13" s="427">
        <v>3000000</v>
      </c>
      <c r="AA13" s="427"/>
      <c r="AB13" s="427"/>
      <c r="AC13" s="427"/>
      <c r="AD13" s="427"/>
      <c r="AE13" s="427"/>
      <c r="AF13" s="427"/>
      <c r="AG13" s="427">
        <f t="shared" si="2"/>
        <v>12000000</v>
      </c>
      <c r="AH13" s="400" t="s">
        <v>237</v>
      </c>
      <c r="AI13" s="400" t="s">
        <v>1785</v>
      </c>
      <c r="AJ13" s="400"/>
      <c r="AK13" s="400"/>
      <c r="AL13" s="400"/>
      <c r="AM13" s="400">
        <v>100</v>
      </c>
      <c r="AN13" s="400">
        <v>100</v>
      </c>
    </row>
    <row r="14" spans="1:40" x14ac:dyDescent="0.25">
      <c r="A14" s="507"/>
      <c r="B14" s="506"/>
      <c r="C14" s="506"/>
      <c r="D14" s="507"/>
      <c r="E14" s="506"/>
      <c r="F14" s="509"/>
      <c r="G14" s="508"/>
      <c r="H14" s="506"/>
      <c r="I14" s="502"/>
      <c r="J14" s="400"/>
      <c r="K14" s="400"/>
      <c r="L14" s="400"/>
      <c r="M14" s="428">
        <f>SUM(M11:M13)</f>
        <v>49800000</v>
      </c>
      <c r="N14" s="400"/>
      <c r="O14" s="505"/>
      <c r="P14" s="505"/>
      <c r="Q14" s="505"/>
      <c r="R14" s="428"/>
      <c r="S14" s="503"/>
      <c r="T14" s="400"/>
      <c r="U14" s="428">
        <f>SUM(U11:U13)</f>
        <v>49800000</v>
      </c>
      <c r="V14" s="400"/>
      <c r="W14" s="427"/>
      <c r="X14" s="427"/>
      <c r="Y14" s="427"/>
      <c r="Z14" s="427"/>
      <c r="AA14" s="427"/>
      <c r="AB14" s="427"/>
      <c r="AC14" s="427"/>
      <c r="AD14" s="427"/>
      <c r="AE14" s="427"/>
      <c r="AF14" s="427"/>
      <c r="AG14" s="427">
        <f>SUM(AG11:AG13)</f>
        <v>49800000</v>
      </c>
      <c r="AH14" s="400"/>
      <c r="AI14" s="400"/>
      <c r="AJ14" s="400"/>
      <c r="AK14" s="400"/>
      <c r="AL14" s="400"/>
      <c r="AM14" s="400">
        <v>100</v>
      </c>
      <c r="AN14" s="400">
        <v>100</v>
      </c>
    </row>
    <row r="15" spans="1:40" ht="90" x14ac:dyDescent="0.25">
      <c r="A15" s="528"/>
      <c r="B15" s="76" t="s">
        <v>386</v>
      </c>
      <c r="C15" s="76"/>
      <c r="D15" s="528"/>
      <c r="E15" s="76" t="s">
        <v>1863</v>
      </c>
      <c r="F15" s="529" t="s">
        <v>1698</v>
      </c>
      <c r="G15" s="530">
        <v>231589000</v>
      </c>
      <c r="H15" s="76" t="s">
        <v>1862</v>
      </c>
      <c r="I15" s="531"/>
      <c r="J15" s="529"/>
      <c r="K15" s="529"/>
      <c r="L15" s="529"/>
      <c r="M15" s="532"/>
      <c r="N15" s="529"/>
      <c r="O15" s="533"/>
      <c r="P15" s="533"/>
      <c r="Q15" s="533"/>
      <c r="R15" s="532"/>
      <c r="S15" s="534"/>
      <c r="T15" s="529"/>
      <c r="U15" s="532"/>
      <c r="V15" s="529"/>
      <c r="W15" s="535"/>
      <c r="X15" s="535"/>
      <c r="Y15" s="535"/>
      <c r="Z15" s="535"/>
      <c r="AA15" s="535"/>
      <c r="AB15" s="535"/>
      <c r="AC15" s="535"/>
      <c r="AD15" s="535"/>
      <c r="AE15" s="535"/>
      <c r="AF15" s="535"/>
      <c r="AG15" s="535"/>
      <c r="AH15" s="529"/>
      <c r="AI15" s="529"/>
      <c r="AJ15" s="529" t="s">
        <v>1861</v>
      </c>
      <c r="AK15" s="529"/>
      <c r="AL15" s="529"/>
      <c r="AM15" s="529">
        <v>0</v>
      </c>
      <c r="AN15" s="529">
        <v>0</v>
      </c>
    </row>
    <row r="16" spans="1:40" ht="72.75" customHeight="1" x14ac:dyDescent="0.25">
      <c r="A16" s="1317"/>
      <c r="B16" s="1315" t="s">
        <v>386</v>
      </c>
      <c r="C16" s="1315" t="s">
        <v>1792</v>
      </c>
      <c r="D16" s="1317">
        <v>2013</v>
      </c>
      <c r="E16" s="1315" t="s">
        <v>1771</v>
      </c>
      <c r="F16" s="1315" t="s">
        <v>1793</v>
      </c>
      <c r="G16" s="1316" t="s">
        <v>1822</v>
      </c>
      <c r="H16" s="1315" t="s">
        <v>1866</v>
      </c>
      <c r="I16" s="510">
        <v>1</v>
      </c>
      <c r="J16" s="511" t="s">
        <v>1797</v>
      </c>
      <c r="K16" s="511" t="s">
        <v>1794</v>
      </c>
      <c r="L16" s="511" t="s">
        <v>1805</v>
      </c>
      <c r="M16" s="512">
        <v>3000000</v>
      </c>
      <c r="N16" s="510" t="s">
        <v>1796</v>
      </c>
      <c r="O16" s="513">
        <v>41623</v>
      </c>
      <c r="P16" s="513">
        <v>41670</v>
      </c>
      <c r="Q16" s="513">
        <v>41670</v>
      </c>
      <c r="R16" s="511" t="s">
        <v>1799</v>
      </c>
      <c r="S16" s="512">
        <v>3000000</v>
      </c>
      <c r="T16" s="511" t="s">
        <v>1798</v>
      </c>
      <c r="U16" s="512">
        <v>3000000</v>
      </c>
      <c r="V16" s="510"/>
      <c r="W16" s="512">
        <v>3000000</v>
      </c>
      <c r="X16" s="512"/>
      <c r="Y16" s="512"/>
      <c r="Z16" s="512"/>
      <c r="AA16" s="512"/>
      <c r="AB16" s="512"/>
      <c r="AC16" s="512"/>
      <c r="AD16" s="512"/>
      <c r="AE16" s="512"/>
      <c r="AF16" s="512"/>
      <c r="AG16" s="514">
        <f t="shared" si="2"/>
        <v>3000000</v>
      </c>
      <c r="AH16" s="511" t="s">
        <v>237</v>
      </c>
      <c r="AI16" s="511" t="s">
        <v>1795</v>
      </c>
      <c r="AJ16" s="511"/>
      <c r="AK16" s="511" t="s">
        <v>1800</v>
      </c>
      <c r="AL16" s="511" t="s">
        <v>1800</v>
      </c>
      <c r="AM16" s="510">
        <v>100</v>
      </c>
      <c r="AN16" s="536">
        <f>(AG16*100)/U16</f>
        <v>100</v>
      </c>
    </row>
    <row r="17" spans="1:40" ht="77.25" customHeight="1" x14ac:dyDescent="0.25">
      <c r="A17" s="1317"/>
      <c r="B17" s="1315"/>
      <c r="C17" s="1315"/>
      <c r="D17" s="1317"/>
      <c r="E17" s="1315"/>
      <c r="F17" s="1315"/>
      <c r="G17" s="1316"/>
      <c r="H17" s="1315"/>
      <c r="I17" s="515">
        <v>2</v>
      </c>
      <c r="J17" s="511" t="s">
        <v>1803</v>
      </c>
      <c r="K17" s="511" t="s">
        <v>1804</v>
      </c>
      <c r="L17" s="511" t="s">
        <v>1805</v>
      </c>
      <c r="M17" s="512">
        <v>4500000</v>
      </c>
      <c r="N17" s="510" t="s">
        <v>1796</v>
      </c>
      <c r="O17" s="513">
        <v>41593</v>
      </c>
      <c r="P17" s="513">
        <v>41639</v>
      </c>
      <c r="Q17" s="513">
        <v>41639</v>
      </c>
      <c r="R17" s="511" t="s">
        <v>1801</v>
      </c>
      <c r="S17" s="512">
        <v>4500000</v>
      </c>
      <c r="T17" s="511" t="s">
        <v>1802</v>
      </c>
      <c r="U17" s="512">
        <v>4500000</v>
      </c>
      <c r="V17" s="510"/>
      <c r="W17" s="512">
        <v>3000000</v>
      </c>
      <c r="X17" s="512">
        <v>1500000</v>
      </c>
      <c r="Y17" s="512"/>
      <c r="Z17" s="512"/>
      <c r="AA17" s="512"/>
      <c r="AB17" s="512"/>
      <c r="AC17" s="512"/>
      <c r="AD17" s="512"/>
      <c r="AE17" s="512"/>
      <c r="AF17" s="512"/>
      <c r="AG17" s="512">
        <f t="shared" si="2"/>
        <v>4500000</v>
      </c>
      <c r="AH17" s="510" t="s">
        <v>237</v>
      </c>
      <c r="AI17" s="511" t="s">
        <v>1795</v>
      </c>
      <c r="AJ17" s="511"/>
      <c r="AK17" s="511" t="s">
        <v>1806</v>
      </c>
      <c r="AL17" s="510"/>
      <c r="AM17" s="510">
        <v>100</v>
      </c>
      <c r="AN17" s="536">
        <f t="shared" ref="AN17:AN19" si="3">(AG17*100)/U17</f>
        <v>100</v>
      </c>
    </row>
    <row r="18" spans="1:40" ht="45" customHeight="1" x14ac:dyDescent="0.25">
      <c r="A18" s="1317"/>
      <c r="B18" s="1315"/>
      <c r="C18" s="1315"/>
      <c r="D18" s="1317"/>
      <c r="E18" s="1315"/>
      <c r="F18" s="1315"/>
      <c r="G18" s="1316"/>
      <c r="H18" s="1315"/>
      <c r="I18" s="515">
        <v>3</v>
      </c>
      <c r="J18" s="279" t="s">
        <v>1807</v>
      </c>
      <c r="K18" s="511" t="s">
        <v>1808</v>
      </c>
      <c r="L18" s="511" t="s">
        <v>1805</v>
      </c>
      <c r="M18" s="512">
        <v>4500000</v>
      </c>
      <c r="N18" s="510" t="s">
        <v>1796</v>
      </c>
      <c r="O18" s="511" t="s">
        <v>1810</v>
      </c>
      <c r="P18" s="510"/>
      <c r="Q18" s="510"/>
      <c r="R18" s="511" t="s">
        <v>1809</v>
      </c>
      <c r="S18" s="512">
        <v>4500000</v>
      </c>
      <c r="T18" s="511" t="s">
        <v>1817</v>
      </c>
      <c r="U18" s="512">
        <v>4500000</v>
      </c>
      <c r="V18" s="510"/>
      <c r="W18" s="512">
        <v>3000000</v>
      </c>
      <c r="X18" s="512">
        <v>1500000</v>
      </c>
      <c r="Y18" s="512"/>
      <c r="Z18" s="512"/>
      <c r="AA18" s="512"/>
      <c r="AB18" s="512"/>
      <c r="AC18" s="512"/>
      <c r="AD18" s="512"/>
      <c r="AE18" s="512"/>
      <c r="AF18" s="512"/>
      <c r="AG18" s="512">
        <f t="shared" si="2"/>
        <v>4500000</v>
      </c>
      <c r="AH18" s="540" t="s">
        <v>237</v>
      </c>
      <c r="AI18" s="510"/>
      <c r="AJ18" s="511" t="s">
        <v>1811</v>
      </c>
      <c r="AK18" s="510"/>
      <c r="AL18" s="510"/>
      <c r="AM18" s="510">
        <v>100</v>
      </c>
      <c r="AN18" s="536">
        <f t="shared" si="3"/>
        <v>100</v>
      </c>
    </row>
    <row r="19" spans="1:40" ht="61.5" customHeight="1" x14ac:dyDescent="0.25">
      <c r="A19" s="1317"/>
      <c r="B19" s="1315"/>
      <c r="C19" s="1315"/>
      <c r="D19" s="1317"/>
      <c r="E19" s="1315"/>
      <c r="F19" s="1315"/>
      <c r="G19" s="1316"/>
      <c r="H19" s="1315"/>
      <c r="I19" s="515">
        <v>4</v>
      </c>
      <c r="J19" s="511" t="s">
        <v>1815</v>
      </c>
      <c r="K19" s="511" t="s">
        <v>1812</v>
      </c>
      <c r="L19" s="511" t="s">
        <v>1805</v>
      </c>
      <c r="M19" s="512">
        <v>4500000</v>
      </c>
      <c r="N19" s="510" t="s">
        <v>1796</v>
      </c>
      <c r="O19" s="513">
        <v>41593</v>
      </c>
      <c r="P19" s="513">
        <v>41639</v>
      </c>
      <c r="Q19" s="513">
        <v>41639</v>
      </c>
      <c r="R19" s="511" t="s">
        <v>1816</v>
      </c>
      <c r="S19" s="512">
        <v>4500000</v>
      </c>
      <c r="T19" s="511" t="s">
        <v>1818</v>
      </c>
      <c r="U19" s="512">
        <v>4500000</v>
      </c>
      <c r="V19" s="510"/>
      <c r="W19" s="512">
        <v>3000000</v>
      </c>
      <c r="X19" s="512">
        <v>1500000</v>
      </c>
      <c r="Y19" s="512"/>
      <c r="Z19" s="512"/>
      <c r="AA19" s="512"/>
      <c r="AB19" s="512"/>
      <c r="AC19" s="512"/>
      <c r="AD19" s="512"/>
      <c r="AE19" s="512"/>
      <c r="AF19" s="512"/>
      <c r="AG19" s="512">
        <f t="shared" si="2"/>
        <v>4500000</v>
      </c>
      <c r="AH19" s="511" t="s">
        <v>237</v>
      </c>
      <c r="AI19" s="511" t="s">
        <v>1813</v>
      </c>
      <c r="AJ19" s="511"/>
      <c r="AK19" s="511" t="s">
        <v>1814</v>
      </c>
      <c r="AL19" s="510"/>
      <c r="AM19" s="510">
        <v>100</v>
      </c>
      <c r="AN19" s="536">
        <f t="shared" si="3"/>
        <v>100</v>
      </c>
    </row>
    <row r="20" spans="1:40" x14ac:dyDescent="0.25">
      <c r="A20" s="515"/>
      <c r="B20" s="515"/>
      <c r="C20" s="515"/>
      <c r="D20" s="515"/>
      <c r="E20" s="515"/>
      <c r="F20" s="515"/>
      <c r="G20" s="515"/>
      <c r="H20" s="515"/>
      <c r="I20" s="515"/>
      <c r="J20" s="515"/>
      <c r="K20" s="515"/>
      <c r="L20" s="515"/>
      <c r="M20" s="516">
        <f>SUM(M16:M19)</f>
        <v>16500000</v>
      </c>
      <c r="N20" s="515"/>
      <c r="O20" s="515"/>
      <c r="P20" s="515"/>
      <c r="Q20" s="515"/>
      <c r="R20" s="515"/>
      <c r="S20" s="516"/>
      <c r="T20" s="515"/>
      <c r="U20" s="516">
        <f>SUM(U16:U19)</f>
        <v>16500000</v>
      </c>
      <c r="V20" s="515"/>
      <c r="W20" s="515"/>
      <c r="X20" s="515"/>
      <c r="Y20" s="515"/>
      <c r="Z20" s="515"/>
      <c r="AA20" s="515"/>
      <c r="AB20" s="515"/>
      <c r="AC20" s="515"/>
      <c r="AD20" s="515"/>
      <c r="AE20" s="515"/>
      <c r="AF20" s="515"/>
      <c r="AG20" s="517">
        <f>SUM(AG16:AG19)</f>
        <v>16500000</v>
      </c>
      <c r="AH20" s="515"/>
      <c r="AI20" s="515"/>
      <c r="AJ20" s="515"/>
      <c r="AK20" s="515"/>
      <c r="AL20" s="515"/>
      <c r="AM20" s="515"/>
      <c r="AN20" s="515"/>
    </row>
    <row r="21" spans="1:40" ht="75" customHeight="1" x14ac:dyDescent="0.25">
      <c r="A21" s="1059"/>
      <c r="B21" s="1059" t="s">
        <v>386</v>
      </c>
      <c r="C21" s="1059" t="s">
        <v>1791</v>
      </c>
      <c r="D21" s="1059">
        <v>2013</v>
      </c>
      <c r="E21" s="1059" t="s">
        <v>1819</v>
      </c>
      <c r="F21" s="1059" t="s">
        <v>1820</v>
      </c>
      <c r="G21" s="1318" t="s">
        <v>1821</v>
      </c>
      <c r="H21" s="1059" t="s">
        <v>1823</v>
      </c>
      <c r="I21" s="518">
        <v>1</v>
      </c>
      <c r="J21" s="242" t="s">
        <v>1827</v>
      </c>
      <c r="K21" s="242" t="s">
        <v>1828</v>
      </c>
      <c r="L21" s="242" t="s">
        <v>1829</v>
      </c>
      <c r="M21" s="519">
        <v>4500000</v>
      </c>
      <c r="N21" s="242" t="s">
        <v>1796</v>
      </c>
      <c r="O21" s="244">
        <v>41593</v>
      </c>
      <c r="P21" s="244">
        <v>41639</v>
      </c>
      <c r="Q21" s="244">
        <v>41639</v>
      </c>
      <c r="R21" s="242"/>
      <c r="S21" s="519"/>
      <c r="T21" s="242" t="s">
        <v>1830</v>
      </c>
      <c r="U21" s="519">
        <v>4500000</v>
      </c>
      <c r="V21" s="242"/>
      <c r="W21" s="519">
        <v>1500000</v>
      </c>
      <c r="X21" s="519">
        <v>1500000</v>
      </c>
      <c r="Y21" s="519">
        <v>1500000</v>
      </c>
      <c r="Z21" s="519"/>
      <c r="AA21" s="519"/>
      <c r="AB21" s="519"/>
      <c r="AC21" s="519"/>
      <c r="AD21" s="519"/>
      <c r="AE21" s="519"/>
      <c r="AF21" s="519"/>
      <c r="AG21" s="519">
        <f>SUM(V21:AF21)</f>
        <v>4500000</v>
      </c>
      <c r="AH21" s="242" t="s">
        <v>237</v>
      </c>
      <c r="AI21" s="242" t="s">
        <v>1795</v>
      </c>
      <c r="AJ21" s="242" t="s">
        <v>1838</v>
      </c>
      <c r="AK21" s="242" t="s">
        <v>1831</v>
      </c>
      <c r="AL21" s="242"/>
      <c r="AM21" s="520">
        <v>100</v>
      </c>
      <c r="AN21" s="520">
        <f>(AG21*100)/U21</f>
        <v>100</v>
      </c>
    </row>
    <row r="22" spans="1:40" ht="75" x14ac:dyDescent="0.25">
      <c r="A22" s="1243"/>
      <c r="B22" s="1243"/>
      <c r="C22" s="1243"/>
      <c r="D22" s="1243"/>
      <c r="E22" s="1243"/>
      <c r="F22" s="1243"/>
      <c r="G22" s="1319"/>
      <c r="H22" s="1243"/>
      <c r="I22" s="518">
        <v>2</v>
      </c>
      <c r="J22" s="242" t="s">
        <v>1833</v>
      </c>
      <c r="K22" s="242" t="s">
        <v>1834</v>
      </c>
      <c r="L22" s="242" t="s">
        <v>1835</v>
      </c>
      <c r="M22" s="519">
        <v>4000000</v>
      </c>
      <c r="N22" s="242" t="s">
        <v>329</v>
      </c>
      <c r="O22" s="244">
        <v>41579</v>
      </c>
      <c r="P22" s="244">
        <v>41645</v>
      </c>
      <c r="Q22" s="244">
        <v>41645</v>
      </c>
      <c r="R22" s="242" t="s">
        <v>1832</v>
      </c>
      <c r="S22" s="519">
        <v>4500000</v>
      </c>
      <c r="T22" s="242" t="s">
        <v>1836</v>
      </c>
      <c r="U22" s="519">
        <v>4000000</v>
      </c>
      <c r="V22" s="242"/>
      <c r="W22" s="519">
        <v>2000000</v>
      </c>
      <c r="X22" s="519">
        <v>2000000</v>
      </c>
      <c r="Y22" s="519"/>
      <c r="Z22" s="519"/>
      <c r="AA22" s="519"/>
      <c r="AB22" s="519"/>
      <c r="AC22" s="519"/>
      <c r="AD22" s="519"/>
      <c r="AE22" s="519"/>
      <c r="AF22" s="519"/>
      <c r="AG22" s="519">
        <f t="shared" ref="AG22:AG25" si="4">SUM(V22:AF22)</f>
        <v>4000000</v>
      </c>
      <c r="AH22" s="242" t="s">
        <v>237</v>
      </c>
      <c r="AI22" s="242" t="s">
        <v>1837</v>
      </c>
      <c r="AJ22" s="242" t="s">
        <v>1839</v>
      </c>
      <c r="AK22" s="242" t="s">
        <v>1840</v>
      </c>
      <c r="AL22" s="242"/>
      <c r="AM22" s="520">
        <v>100</v>
      </c>
      <c r="AN22" s="520">
        <f>(AG22*100)/U22</f>
        <v>100</v>
      </c>
    </row>
    <row r="23" spans="1:40" ht="90" customHeight="1" x14ac:dyDescent="0.25">
      <c r="A23" s="1243"/>
      <c r="B23" s="1243"/>
      <c r="C23" s="1243"/>
      <c r="D23" s="1243"/>
      <c r="E23" s="1243"/>
      <c r="F23" s="1243"/>
      <c r="G23" s="1319"/>
      <c r="H23" s="1243"/>
      <c r="I23" s="518">
        <v>3</v>
      </c>
      <c r="J23" s="242" t="s">
        <v>1841</v>
      </c>
      <c r="K23" s="242" t="s">
        <v>1842</v>
      </c>
      <c r="L23" s="242" t="s">
        <v>1843</v>
      </c>
      <c r="M23" s="519">
        <f>3300000+1650000</f>
        <v>4950000</v>
      </c>
      <c r="N23" s="242" t="s">
        <v>1844</v>
      </c>
      <c r="O23" s="244">
        <v>41523</v>
      </c>
      <c r="P23" s="244">
        <v>41552</v>
      </c>
      <c r="Q23" s="244">
        <v>41567</v>
      </c>
      <c r="R23" s="242" t="s">
        <v>1846</v>
      </c>
      <c r="S23" s="519">
        <f>3300000+1650000</f>
        <v>4950000</v>
      </c>
      <c r="T23" s="242" t="s">
        <v>1845</v>
      </c>
      <c r="U23" s="519">
        <f>3300000+1650000</f>
        <v>4950000</v>
      </c>
      <c r="V23" s="242"/>
      <c r="W23" s="519">
        <v>3300000</v>
      </c>
      <c r="X23" s="519">
        <v>1650000</v>
      </c>
      <c r="Y23" s="519"/>
      <c r="Z23" s="519"/>
      <c r="AA23" s="519"/>
      <c r="AB23" s="519"/>
      <c r="AC23" s="519"/>
      <c r="AD23" s="519"/>
      <c r="AE23" s="519"/>
      <c r="AF23" s="519"/>
      <c r="AG23" s="519">
        <f t="shared" si="4"/>
        <v>4950000</v>
      </c>
      <c r="AH23" s="242" t="s">
        <v>237</v>
      </c>
      <c r="AI23" s="242" t="s">
        <v>1837</v>
      </c>
      <c r="AJ23" s="242"/>
      <c r="AK23" s="242" t="s">
        <v>1852</v>
      </c>
      <c r="AL23" s="242"/>
      <c r="AM23" s="520">
        <v>100</v>
      </c>
      <c r="AN23" s="520">
        <f t="shared" ref="AN23:AN25" si="5">(AG23*100)/U23</f>
        <v>100</v>
      </c>
    </row>
    <row r="24" spans="1:40" ht="81" customHeight="1" x14ac:dyDescent="0.25">
      <c r="A24" s="1243"/>
      <c r="B24" s="1243"/>
      <c r="C24" s="1243"/>
      <c r="D24" s="1243"/>
      <c r="E24" s="1243"/>
      <c r="F24" s="1243"/>
      <c r="G24" s="1319"/>
      <c r="H24" s="1243"/>
      <c r="I24" s="518">
        <v>4</v>
      </c>
      <c r="J24" s="242" t="s">
        <v>1847</v>
      </c>
      <c r="K24" s="242" t="s">
        <v>1842</v>
      </c>
      <c r="L24" s="242" t="s">
        <v>1843</v>
      </c>
      <c r="M24" s="519">
        <v>7260000</v>
      </c>
      <c r="N24" s="242" t="s">
        <v>1849</v>
      </c>
      <c r="O24" s="244">
        <v>41572</v>
      </c>
      <c r="P24" s="244">
        <v>41639</v>
      </c>
      <c r="Q24" s="244">
        <v>41639</v>
      </c>
      <c r="R24" s="242" t="s">
        <v>1850</v>
      </c>
      <c r="S24" s="519">
        <v>7260000</v>
      </c>
      <c r="T24" s="242" t="s">
        <v>1848</v>
      </c>
      <c r="U24" s="519">
        <v>7260000</v>
      </c>
      <c r="V24" s="242"/>
      <c r="W24" s="519">
        <v>3960000</v>
      </c>
      <c r="X24" s="519">
        <v>3300000</v>
      </c>
      <c r="Y24" s="519"/>
      <c r="Z24" s="519"/>
      <c r="AA24" s="519"/>
      <c r="AB24" s="519"/>
      <c r="AC24" s="519"/>
      <c r="AD24" s="519"/>
      <c r="AE24" s="519"/>
      <c r="AF24" s="519"/>
      <c r="AG24" s="519">
        <f t="shared" si="4"/>
        <v>7260000</v>
      </c>
      <c r="AH24" s="242" t="s">
        <v>237</v>
      </c>
      <c r="AI24" s="242" t="s">
        <v>1837</v>
      </c>
      <c r="AJ24" s="242"/>
      <c r="AK24" s="242" t="s">
        <v>1851</v>
      </c>
      <c r="AL24" s="242"/>
      <c r="AM24" s="520">
        <v>100</v>
      </c>
      <c r="AN24" s="520">
        <f t="shared" si="5"/>
        <v>100</v>
      </c>
    </row>
    <row r="25" spans="1:40" ht="94.5" customHeight="1" x14ac:dyDescent="0.25">
      <c r="A25" s="1060"/>
      <c r="B25" s="1060"/>
      <c r="C25" s="1060"/>
      <c r="D25" s="1060"/>
      <c r="E25" s="1060"/>
      <c r="F25" s="1060"/>
      <c r="G25" s="1320"/>
      <c r="H25" s="1060"/>
      <c r="I25" s="518">
        <v>5</v>
      </c>
      <c r="J25" s="242" t="s">
        <v>1853</v>
      </c>
      <c r="K25" s="242" t="s">
        <v>1854</v>
      </c>
      <c r="L25" s="242" t="s">
        <v>1855</v>
      </c>
      <c r="M25" s="519">
        <v>3000000</v>
      </c>
      <c r="N25" s="242"/>
      <c r="O25" s="244"/>
      <c r="P25" s="244"/>
      <c r="Q25" s="244"/>
      <c r="R25" s="242"/>
      <c r="S25" s="519"/>
      <c r="T25" s="242" t="s">
        <v>1856</v>
      </c>
      <c r="U25" s="519">
        <v>3000000</v>
      </c>
      <c r="V25" s="242"/>
      <c r="W25" s="519">
        <v>3000000</v>
      </c>
      <c r="X25" s="519"/>
      <c r="Y25" s="519"/>
      <c r="Z25" s="519"/>
      <c r="AA25" s="519"/>
      <c r="AB25" s="519"/>
      <c r="AC25" s="519"/>
      <c r="AD25" s="519"/>
      <c r="AE25" s="519"/>
      <c r="AF25" s="519"/>
      <c r="AG25" s="519">
        <f t="shared" si="4"/>
        <v>3000000</v>
      </c>
      <c r="AH25" s="242" t="s">
        <v>237</v>
      </c>
      <c r="AI25" s="242"/>
      <c r="AJ25" s="242"/>
      <c r="AK25" s="242"/>
      <c r="AL25" s="242"/>
      <c r="AM25" s="520">
        <v>100</v>
      </c>
      <c r="AN25" s="520">
        <f t="shared" si="5"/>
        <v>100</v>
      </c>
    </row>
    <row r="26" spans="1:40" x14ac:dyDescent="0.25">
      <c r="A26" s="518"/>
      <c r="B26" s="518"/>
      <c r="C26" s="518"/>
      <c r="D26" s="518"/>
      <c r="E26" s="518"/>
      <c r="F26" s="518"/>
      <c r="G26" s="518"/>
      <c r="H26" s="518"/>
      <c r="I26" s="518"/>
      <c r="J26" s="242"/>
      <c r="K26" s="242"/>
      <c r="L26" s="242"/>
      <c r="M26" s="519">
        <f>SUM(M21:M25)</f>
        <v>23710000</v>
      </c>
      <c r="N26" s="242"/>
      <c r="O26" s="242"/>
      <c r="P26" s="242"/>
      <c r="Q26" s="242"/>
      <c r="R26" s="242"/>
      <c r="S26" s="519"/>
      <c r="T26" s="242"/>
      <c r="U26" s="242"/>
      <c r="V26" s="242"/>
      <c r="W26" s="519"/>
      <c r="X26" s="519"/>
      <c r="Y26" s="519"/>
      <c r="Z26" s="519"/>
      <c r="AA26" s="519"/>
      <c r="AB26" s="519"/>
      <c r="AC26" s="519"/>
      <c r="AD26" s="519"/>
      <c r="AE26" s="519"/>
      <c r="AF26" s="519"/>
      <c r="AG26" s="519">
        <f>SUM(AG21:AG25)</f>
        <v>23710000</v>
      </c>
      <c r="AH26" s="242"/>
      <c r="AI26" s="242"/>
      <c r="AJ26" s="242"/>
      <c r="AK26" s="242"/>
      <c r="AL26" s="242"/>
      <c r="AM26" s="520"/>
      <c r="AN26" s="520"/>
    </row>
    <row r="27" spans="1:40" ht="168" customHeight="1" x14ac:dyDescent="0.25">
      <c r="A27" s="495"/>
      <c r="B27" s="496" t="s">
        <v>386</v>
      </c>
      <c r="C27" s="496" t="s">
        <v>1791</v>
      </c>
      <c r="D27" s="495">
        <v>2013</v>
      </c>
      <c r="E27" s="497" t="s">
        <v>1705</v>
      </c>
      <c r="F27" s="497" t="s">
        <v>1701</v>
      </c>
      <c r="G27" s="498">
        <v>901824000</v>
      </c>
      <c r="H27" s="497" t="s">
        <v>1704</v>
      </c>
      <c r="I27" s="496">
        <v>1</v>
      </c>
      <c r="J27" s="496" t="s">
        <v>1706</v>
      </c>
      <c r="K27" s="496" t="s">
        <v>1707</v>
      </c>
      <c r="L27" s="496" t="s">
        <v>1708</v>
      </c>
      <c r="M27" s="499">
        <f>510000000+253882000</f>
        <v>763882000</v>
      </c>
      <c r="N27" s="496" t="s">
        <v>335</v>
      </c>
      <c r="O27" s="500">
        <v>41449</v>
      </c>
      <c r="P27" s="496" t="s">
        <v>1709</v>
      </c>
      <c r="Q27" s="500">
        <v>41639</v>
      </c>
      <c r="R27" s="496" t="s">
        <v>1710</v>
      </c>
      <c r="S27" s="501">
        <f>510000000+253882000</f>
        <v>763882000</v>
      </c>
      <c r="T27" s="496" t="s">
        <v>1743</v>
      </c>
      <c r="U27" s="501">
        <f>510000000+253882000</f>
        <v>763882000</v>
      </c>
      <c r="V27" s="496"/>
      <c r="W27" s="499">
        <v>102000000</v>
      </c>
      <c r="X27" s="499">
        <v>102000000</v>
      </c>
      <c r="Y27" s="499">
        <v>102000000</v>
      </c>
      <c r="Z27" s="499">
        <v>102000000</v>
      </c>
      <c r="AA27" s="499">
        <v>102000000</v>
      </c>
      <c r="AB27" s="499">
        <v>126941000</v>
      </c>
      <c r="AC27" s="499">
        <v>126941000</v>
      </c>
      <c r="AD27" s="499"/>
      <c r="AE27" s="499"/>
      <c r="AF27" s="499"/>
      <c r="AG27" s="499">
        <f>SUM(V27:AF27)</f>
        <v>763882000</v>
      </c>
      <c r="AH27" s="496" t="s">
        <v>1744</v>
      </c>
      <c r="AI27" s="496" t="s">
        <v>1711</v>
      </c>
      <c r="AJ27" s="496" t="s">
        <v>1713</v>
      </c>
      <c r="AK27" s="496" t="s">
        <v>1712</v>
      </c>
      <c r="AL27" s="496" t="s">
        <v>1712</v>
      </c>
      <c r="AM27" s="496">
        <v>100</v>
      </c>
      <c r="AN27" s="6">
        <v>100</v>
      </c>
    </row>
    <row r="32" spans="1:40" x14ac:dyDescent="0.25">
      <c r="W32" s="287"/>
      <c r="X32" s="287"/>
      <c r="Y32" s="287"/>
      <c r="Z32" s="287"/>
      <c r="AA32" s="287"/>
      <c r="AB32" s="287"/>
      <c r="AC32" s="287"/>
      <c r="AD32" s="287"/>
      <c r="AE32" s="287"/>
      <c r="AF32" s="287"/>
      <c r="AG32" s="287"/>
    </row>
    <row r="33" spans="23:33" x14ac:dyDescent="0.25">
      <c r="W33" s="287"/>
      <c r="X33" s="287"/>
      <c r="Y33" s="287"/>
      <c r="Z33" s="287"/>
      <c r="AA33" s="287"/>
      <c r="AB33" s="287"/>
      <c r="AC33" s="287"/>
      <c r="AD33" s="287"/>
      <c r="AE33" s="287"/>
      <c r="AF33" s="287"/>
      <c r="AG33" s="287"/>
    </row>
    <row r="34" spans="23:33" x14ac:dyDescent="0.25">
      <c r="W34" s="287"/>
      <c r="X34" s="287"/>
      <c r="Y34" s="287"/>
      <c r="Z34" s="287"/>
      <c r="AA34" s="287"/>
      <c r="AB34" s="287"/>
      <c r="AC34" s="287"/>
      <c r="AD34" s="287"/>
      <c r="AE34" s="287"/>
      <c r="AF34" s="287"/>
      <c r="AG34" s="287"/>
    </row>
    <row r="35" spans="23:33" x14ac:dyDescent="0.25">
      <c r="W35" s="287"/>
      <c r="X35" s="287"/>
      <c r="Y35" s="287"/>
      <c r="Z35" s="287"/>
      <c r="AA35" s="287"/>
      <c r="AB35" s="287"/>
      <c r="AC35" s="287"/>
      <c r="AD35" s="287"/>
      <c r="AE35" s="287"/>
      <c r="AF35" s="287"/>
      <c r="AG35" s="287"/>
    </row>
    <row r="36" spans="23:33" x14ac:dyDescent="0.25">
      <c r="W36" s="287"/>
      <c r="X36" s="287"/>
      <c r="Y36" s="287"/>
      <c r="Z36" s="287"/>
      <c r="AA36" s="287"/>
      <c r="AB36" s="287"/>
      <c r="AC36" s="287"/>
      <c r="AD36" s="287"/>
      <c r="AE36" s="287"/>
      <c r="AF36" s="287"/>
      <c r="AG36" s="287"/>
    </row>
  </sheetData>
  <mergeCells count="37">
    <mergeCell ref="H21:H25"/>
    <mergeCell ref="G21:G25"/>
    <mergeCell ref="F21:F25"/>
    <mergeCell ref="E21:E25"/>
    <mergeCell ref="D21:D25"/>
    <mergeCell ref="C16:C19"/>
    <mergeCell ref="B16:B19"/>
    <mergeCell ref="A16:A19"/>
    <mergeCell ref="C21:C25"/>
    <mergeCell ref="B21:B25"/>
    <mergeCell ref="A21:A25"/>
    <mergeCell ref="H16:H19"/>
    <mergeCell ref="G16:G19"/>
    <mergeCell ref="F16:F19"/>
    <mergeCell ref="E16:E19"/>
    <mergeCell ref="D16:D19"/>
    <mergeCell ref="A2:A3"/>
    <mergeCell ref="B2:E2"/>
    <mergeCell ref="F2:H2"/>
    <mergeCell ref="I2:AJ2"/>
    <mergeCell ref="AK2:AN2"/>
    <mergeCell ref="C4:C9"/>
    <mergeCell ref="B4:B9"/>
    <mergeCell ref="A4:A9"/>
    <mergeCell ref="H4:H9"/>
    <mergeCell ref="G4:G9"/>
    <mergeCell ref="F4:F9"/>
    <mergeCell ref="E4:E9"/>
    <mergeCell ref="D4:D9"/>
    <mergeCell ref="C11:C13"/>
    <mergeCell ref="B11:B13"/>
    <mergeCell ref="A11:A13"/>
    <mergeCell ref="H11:H13"/>
    <mergeCell ref="G11:G13"/>
    <mergeCell ref="F11:F13"/>
    <mergeCell ref="E11:E13"/>
    <mergeCell ref="D11:D1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6"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Hoja2</vt:lpstr>
      <vt:lpstr>GOBIERNO</vt:lpstr>
      <vt:lpstr>SALUD</vt:lpstr>
      <vt:lpstr>EDUCACION</vt:lpstr>
      <vt:lpstr>infraestructura </vt:lpstr>
      <vt:lpstr>INDEPORTES</vt:lpstr>
      <vt:lpstr>Hoja3</vt:lpstr>
      <vt:lpstr>mujer- general </vt:lpstr>
      <vt:lpstr>Hoja4</vt:lpstr>
      <vt:lpstr>Hoja5</vt:lpstr>
      <vt:lpstr>comparacion</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Isabel</cp:lastModifiedBy>
  <cp:lastPrinted>2014-05-30T21:38:16Z</cp:lastPrinted>
  <dcterms:created xsi:type="dcterms:W3CDTF">2014-03-12T14:20:41Z</dcterms:created>
  <dcterms:modified xsi:type="dcterms:W3CDTF">2014-08-07T18:58:08Z</dcterms:modified>
</cp:coreProperties>
</file>