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5955" yWindow="45" windowWidth="11175" windowHeight="10695" tabRatio="598"/>
  </bookViews>
  <sheets>
    <sheet name="Costos" sheetId="16" r:id="rId1"/>
    <sheet name="Inversion" sheetId="17" r:id="rId2"/>
    <sheet name="person." sheetId="15" r:id="rId3"/>
    <sheet name="VARIABLES DEL PROYECTO" sheetId="1" r:id="rId4"/>
    <sheet name="EVALUACION" sheetId="3" r:id="rId5"/>
    <sheet name="FORMULACION" sheetId="2" r:id="rId6"/>
  </sheets>
  <externalReferences>
    <externalReference r:id="rId7"/>
  </externalReferences>
  <calcPr calcId="124519"/>
</workbook>
</file>

<file path=xl/calcChain.xml><?xml version="1.0" encoding="utf-8"?>
<calcChain xmlns="http://schemas.openxmlformats.org/spreadsheetml/2006/main">
  <c r="C51" i="2"/>
  <c r="D51"/>
  <c r="E51"/>
  <c r="F51"/>
  <c r="G51"/>
  <c r="C65"/>
  <c r="K68"/>
  <c r="G28"/>
  <c r="G47"/>
  <c r="C27" i="3"/>
  <c r="B60" i="16"/>
  <c r="I5"/>
  <c r="B216" i="2"/>
  <c r="C216"/>
  <c r="C185"/>
  <c r="C187"/>
  <c r="B184"/>
  <c r="C184"/>
  <c r="B186"/>
  <c r="C186"/>
  <c r="B188"/>
  <c r="C188"/>
  <c r="B190"/>
  <c r="C190"/>
  <c r="B192"/>
  <c r="C192"/>
  <c r="D25" i="1"/>
  <c r="E25"/>
  <c r="F25"/>
  <c r="G25"/>
  <c r="H25"/>
  <c r="C214" i="2"/>
  <c r="D214"/>
  <c r="C155"/>
  <c r="D155"/>
  <c r="E155"/>
  <c r="F155"/>
  <c r="G155"/>
  <c r="D121"/>
  <c r="E121"/>
  <c r="G10" i="16"/>
  <c r="D28" i="1"/>
  <c r="E28"/>
  <c r="F28"/>
  <c r="G28"/>
  <c r="H28"/>
  <c r="D29"/>
  <c r="E29"/>
  <c r="F29"/>
  <c r="G29"/>
  <c r="H29"/>
  <c r="F10" i="16"/>
  <c r="C16" i="1"/>
  <c r="C14"/>
  <c r="C12"/>
  <c r="D11" i="2"/>
  <c r="E11"/>
  <c r="E9" i="3"/>
  <c r="F11" i="2"/>
  <c r="F9" i="3"/>
  <c r="G11" i="2"/>
  <c r="G30"/>
  <c r="G49"/>
  <c r="D54" i="15"/>
  <c r="D53"/>
  <c r="D52"/>
  <c r="D51"/>
  <c r="D50"/>
  <c r="D49"/>
  <c r="D48"/>
  <c r="D47"/>
  <c r="D56"/>
  <c r="D57"/>
  <c r="C38"/>
  <c r="C39"/>
  <c r="D37"/>
  <c r="D36"/>
  <c r="D35"/>
  <c r="D34"/>
  <c r="D33"/>
  <c r="C31"/>
  <c r="D29"/>
  <c r="D28"/>
  <c r="D27"/>
  <c r="D26"/>
  <c r="C26"/>
  <c r="D25"/>
  <c r="C25"/>
  <c r="D24"/>
  <c r="D23"/>
  <c r="D22"/>
  <c r="C21"/>
  <c r="C32"/>
  <c r="D20"/>
  <c r="D19"/>
  <c r="D16"/>
  <c r="D32"/>
  <c r="D39"/>
  <c r="D15"/>
  <c r="F8"/>
  <c r="E8"/>
  <c r="F7"/>
  <c r="E7"/>
  <c r="F6"/>
  <c r="E6"/>
  <c r="F5"/>
  <c r="E5"/>
  <c r="F4"/>
  <c r="F9"/>
  <c r="E4"/>
  <c r="E9"/>
  <c r="B73" i="16"/>
  <c r="B71"/>
  <c r="B70"/>
  <c r="B74"/>
  <c r="D43"/>
  <c r="E43"/>
  <c r="D42"/>
  <c r="D44"/>
  <c r="D46"/>
  <c r="E41"/>
  <c r="E40"/>
  <c r="E37"/>
  <c r="E36"/>
  <c r="E35"/>
  <c r="E34"/>
  <c r="E33"/>
  <c r="E32"/>
  <c r="E31"/>
  <c r="E30"/>
  <c r="E29"/>
  <c r="E28"/>
  <c r="E27"/>
  <c r="E26"/>
  <c r="E25"/>
  <c r="E24"/>
  <c r="E23"/>
  <c r="E22"/>
  <c r="E21"/>
  <c r="E18"/>
  <c r="D15"/>
  <c r="E13"/>
  <c r="E12"/>
  <c r="G9"/>
  <c r="J9"/>
  <c r="E9"/>
  <c r="J8"/>
  <c r="G8"/>
  <c r="E8"/>
  <c r="G7"/>
  <c r="J7"/>
  <c r="E7"/>
  <c r="J6"/>
  <c r="G6"/>
  <c r="E6"/>
  <c r="G5"/>
  <c r="F37" i="17"/>
  <c r="F39"/>
  <c r="F35"/>
  <c r="D33"/>
  <c r="D32"/>
  <c r="D31"/>
  <c r="D30"/>
  <c r="D29"/>
  <c r="D28"/>
  <c r="D27"/>
  <c r="D26"/>
  <c r="D25"/>
  <c r="E24"/>
  <c r="F24"/>
  <c r="D23"/>
  <c r="D21"/>
  <c r="D20"/>
  <c r="D19"/>
  <c r="D18"/>
  <c r="D17"/>
  <c r="D16"/>
  <c r="D15"/>
  <c r="E14"/>
  <c r="F14"/>
  <c r="D13"/>
  <c r="D12"/>
  <c r="D11"/>
  <c r="D10"/>
  <c r="D9"/>
  <c r="D8"/>
  <c r="D7"/>
  <c r="D6"/>
  <c r="D37"/>
  <c r="E5"/>
  <c r="E22"/>
  <c r="E37"/>
  <c r="E42" i="16"/>
  <c r="E44"/>
  <c r="F5" i="17"/>
  <c r="F22"/>
  <c r="B64" i="16"/>
  <c r="B56"/>
  <c r="B258" i="2"/>
  <c r="C11"/>
  <c r="B524"/>
  <c r="B551"/>
  <c r="B217"/>
  <c r="C217"/>
  <c r="B263"/>
  <c r="D32"/>
  <c r="E166" i="3"/>
  <c r="D166"/>
  <c r="E32" i="2"/>
  <c r="G32"/>
  <c r="J46" i="3"/>
  <c r="J56"/>
  <c r="D12"/>
  <c r="E12"/>
  <c r="F12"/>
  <c r="G12"/>
  <c r="H32"/>
  <c r="B25"/>
  <c r="B26"/>
  <c r="B27"/>
  <c r="H365" i="2"/>
  <c r="B218"/>
  <c r="C218"/>
  <c r="C228"/>
  <c r="D228"/>
  <c r="B229"/>
  <c r="C229"/>
  <c r="B230"/>
  <c r="C230"/>
  <c r="B231"/>
  <c r="C231"/>
  <c r="B232"/>
  <c r="C232"/>
  <c r="B233"/>
  <c r="C233"/>
  <c r="H332"/>
  <c r="H333"/>
  <c r="G332"/>
  <c r="G333"/>
  <c r="F332"/>
  <c r="F333"/>
  <c r="E332"/>
  <c r="E333"/>
  <c r="D332"/>
  <c r="D333"/>
  <c r="C332"/>
  <c r="C333"/>
  <c r="B259"/>
  <c r="B509"/>
  <c r="B9" i="3"/>
  <c r="F28" i="2"/>
  <c r="F545"/>
  <c r="F680"/>
  <c r="D28"/>
  <c r="D47"/>
  <c r="D491"/>
  <c r="D697"/>
  <c r="G77"/>
  <c r="E28"/>
  <c r="E47"/>
  <c r="C28"/>
  <c r="D319"/>
  <c r="B28"/>
  <c r="B621"/>
  <c r="B369"/>
  <c r="B424"/>
  <c r="B427"/>
  <c r="B429"/>
  <c r="B470"/>
  <c r="C365"/>
  <c r="C366"/>
  <c r="D366"/>
  <c r="E365"/>
  <c r="E366"/>
  <c r="F366"/>
  <c r="G365"/>
  <c r="G366"/>
  <c r="H366"/>
  <c r="B632"/>
  <c r="B598"/>
  <c r="B583"/>
  <c r="B580"/>
  <c r="B577"/>
  <c r="A549"/>
  <c r="A599"/>
  <c r="A596"/>
  <c r="A593"/>
  <c r="A590"/>
  <c r="A587"/>
  <c r="A584"/>
  <c r="A581"/>
  <c r="A578"/>
  <c r="A558"/>
  <c r="A555"/>
  <c r="A552"/>
  <c r="A669"/>
  <c r="A666"/>
  <c r="A663"/>
  <c r="A660"/>
  <c r="A657"/>
  <c r="A651"/>
  <c r="A648"/>
  <c r="A645"/>
  <c r="A639"/>
  <c r="A636"/>
  <c r="A633"/>
  <c r="A630"/>
  <c r="A627"/>
  <c r="A624"/>
  <c r="A605"/>
  <c r="A602"/>
  <c r="A575"/>
  <c r="B468"/>
  <c r="G459"/>
  <c r="F459"/>
  <c r="E459"/>
  <c r="D459"/>
  <c r="C459"/>
  <c r="B459"/>
  <c r="B458"/>
  <c r="B457"/>
  <c r="H434"/>
  <c r="H475"/>
  <c r="G115"/>
  <c r="B586"/>
  <c r="B589"/>
  <c r="C32"/>
  <c r="F32"/>
  <c r="H334"/>
  <c r="B656"/>
  <c r="B647"/>
  <c r="B650"/>
  <c r="F365"/>
  <c r="D33"/>
  <c r="G33"/>
  <c r="E33"/>
  <c r="D35"/>
  <c r="B662"/>
  <c r="B659"/>
  <c r="B413"/>
  <c r="B644"/>
  <c r="B456"/>
  <c r="B262"/>
  <c r="B511"/>
  <c r="G35"/>
  <c r="C35"/>
  <c r="C511"/>
  <c r="E458"/>
  <c r="D157"/>
  <c r="C157"/>
  <c r="B268"/>
  <c r="B366"/>
  <c r="F458"/>
  <c r="G157"/>
  <c r="E261"/>
  <c r="E266"/>
  <c r="C33"/>
  <c r="B260"/>
  <c r="B510"/>
  <c r="F33"/>
  <c r="B261"/>
  <c r="B512"/>
  <c r="E34"/>
  <c r="F35"/>
  <c r="E35"/>
  <c r="C83"/>
  <c r="D83"/>
  <c r="E83"/>
  <c r="F83"/>
  <c r="G83"/>
  <c r="C151"/>
  <c r="D151"/>
  <c r="B430"/>
  <c r="B471"/>
  <c r="B28" i="3"/>
  <c r="B431" i="2"/>
  <c r="B472"/>
  <c r="B531"/>
  <c r="C501"/>
  <c r="C580"/>
  <c r="C500"/>
  <c r="F500"/>
  <c r="F501"/>
  <c r="F580"/>
  <c r="D501"/>
  <c r="D580"/>
  <c r="D500"/>
  <c r="E501"/>
  <c r="E580"/>
  <c r="E500"/>
  <c r="I43" i="3"/>
  <c r="I56"/>
  <c r="G500" i="2"/>
  <c r="G501"/>
  <c r="G580"/>
  <c r="F207"/>
  <c r="F115"/>
  <c r="C165"/>
  <c r="B389"/>
  <c r="B525"/>
  <c r="B12" i="3"/>
  <c r="B19"/>
  <c r="D165" i="2"/>
  <c r="D468"/>
  <c r="D429"/>
  <c r="D470"/>
  <c r="D27" i="3"/>
  <c r="C429" i="2"/>
  <c r="C470"/>
  <c r="G429"/>
  <c r="G470"/>
  <c r="G27" i="3"/>
  <c r="E27"/>
  <c r="E429" i="2"/>
  <c r="E470"/>
  <c r="F429"/>
  <c r="F470"/>
  <c r="F27" i="3"/>
  <c r="F165" i="2"/>
  <c r="F334"/>
  <c r="F632"/>
  <c r="G165"/>
  <c r="G468"/>
  <c r="E165"/>
  <c r="E468"/>
  <c r="F26" i="3"/>
  <c r="F427" i="2"/>
  <c r="E572"/>
  <c r="D621"/>
  <c r="C572"/>
  <c r="G572"/>
  <c r="F621"/>
  <c r="F468"/>
  <c r="G228"/>
  <c r="C77"/>
  <c r="F406"/>
  <c r="F284"/>
  <c r="D572"/>
  <c r="F572"/>
  <c r="B572"/>
  <c r="C621"/>
  <c r="E621"/>
  <c r="G621"/>
  <c r="F77"/>
  <c r="C284"/>
  <c r="G360"/>
  <c r="F491"/>
  <c r="F697"/>
  <c r="C207"/>
  <c r="D545"/>
  <c r="D680"/>
  <c r="B115"/>
  <c r="E30"/>
  <c r="E49"/>
  <c r="G9" i="3"/>
  <c r="D26" i="1"/>
  <c r="B4"/>
  <c r="C13" i="2"/>
  <c r="C702"/>
  <c r="J5" i="16"/>
  <c r="E5"/>
  <c r="E15"/>
  <c r="B75"/>
  <c r="B57"/>
  <c r="B58"/>
  <c r="D427" i="2"/>
  <c r="F157"/>
  <c r="B319"/>
  <c r="B545"/>
  <c r="B680"/>
  <c r="B284"/>
  <c r="D135"/>
  <c r="F360"/>
  <c r="B135"/>
  <c r="B360"/>
  <c r="E77"/>
  <c r="E319"/>
  <c r="B516"/>
  <c r="B517"/>
  <c r="E228"/>
  <c r="B491"/>
  <c r="B697"/>
  <c r="C179"/>
  <c r="B450"/>
  <c r="D458"/>
  <c r="D284"/>
  <c r="D96"/>
  <c r="E450"/>
  <c r="E179"/>
  <c r="E96"/>
  <c r="B382"/>
  <c r="B96"/>
  <c r="B252"/>
  <c r="B77"/>
  <c r="B595"/>
  <c r="G334"/>
  <c r="G632"/>
  <c r="D26" i="3"/>
  <c r="H228" i="2"/>
  <c r="F228"/>
  <c r="G284"/>
  <c r="H207"/>
  <c r="G96"/>
  <c r="D77"/>
  <c r="D360"/>
  <c r="H179"/>
  <c r="D450"/>
  <c r="C458"/>
  <c r="C135"/>
  <c r="G450"/>
  <c r="B557"/>
  <c r="C406"/>
  <c r="D115"/>
  <c r="E207"/>
  <c r="E360"/>
  <c r="D406"/>
  <c r="B548"/>
  <c r="H32"/>
  <c r="G427"/>
  <c r="D334"/>
  <c r="D632"/>
  <c r="G319"/>
  <c r="G179"/>
  <c r="G207"/>
  <c r="F96"/>
  <c r="F135"/>
  <c r="F450"/>
  <c r="G491"/>
  <c r="G697"/>
  <c r="H319"/>
  <c r="G135"/>
  <c r="E115"/>
  <c r="C545"/>
  <c r="C680"/>
  <c r="G545"/>
  <c r="G680"/>
  <c r="H360"/>
  <c r="C115"/>
  <c r="E545"/>
  <c r="E680"/>
  <c r="F319"/>
  <c r="E284"/>
  <c r="E157"/>
  <c r="G458"/>
  <c r="F179"/>
  <c r="E406"/>
  <c r="D207"/>
  <c r="C96"/>
  <c r="C450"/>
  <c r="G406"/>
  <c r="E135"/>
  <c r="D179"/>
  <c r="C491"/>
  <c r="C697"/>
  <c r="F30"/>
  <c r="F98"/>
  <c r="G26" i="3"/>
  <c r="C334" i="2"/>
  <c r="C632"/>
  <c r="C427"/>
  <c r="C26" i="3"/>
  <c r="C468" i="2"/>
  <c r="E37"/>
  <c r="C9" i="3"/>
  <c r="C30" i="2"/>
  <c r="C49"/>
  <c r="F34"/>
  <c r="G34"/>
  <c r="F452"/>
  <c r="F699"/>
  <c r="B507"/>
  <c r="B514" s="1"/>
  <c r="B266"/>
  <c r="D30"/>
  <c r="D49"/>
  <c r="D9" i="3"/>
  <c r="D34" i="2"/>
  <c r="D37"/>
  <c r="C34"/>
  <c r="C512"/>
  <c r="D512"/>
  <c r="E512"/>
  <c r="F512"/>
  <c r="G512"/>
  <c r="C153"/>
  <c r="C160"/>
  <c r="F408"/>
  <c r="E493"/>
  <c r="E682"/>
  <c r="F321"/>
  <c r="D13"/>
  <c r="D702"/>
  <c r="E79"/>
  <c r="E117"/>
  <c r="E98"/>
  <c r="G362"/>
  <c r="G321"/>
  <c r="F286"/>
  <c r="E452"/>
  <c r="E699"/>
  <c r="F362"/>
  <c r="E137"/>
  <c r="F254"/>
  <c r="E46" i="16"/>
  <c r="B67"/>
  <c r="B65"/>
  <c r="C102" i="2"/>
  <c r="D102"/>
  <c r="E102"/>
  <c r="F102"/>
  <c r="G102"/>
  <c r="E26" i="1"/>
  <c r="F26"/>
  <c r="G26"/>
  <c r="H26"/>
  <c r="B59" i="16"/>
  <c r="C516" i="2"/>
  <c r="C517"/>
  <c r="F493"/>
  <c r="F682"/>
  <c r="G286"/>
  <c r="F117"/>
  <c r="F79"/>
  <c r="F137"/>
  <c r="E286"/>
  <c r="E321"/>
  <c r="D408"/>
  <c r="D98"/>
  <c r="D117"/>
  <c r="D79"/>
  <c r="C507"/>
  <c r="D507"/>
  <c r="G37"/>
  <c r="G145"/>
  <c r="E145"/>
  <c r="E457"/>
  <c r="D153"/>
  <c r="E153"/>
  <c r="B274"/>
  <c r="B365"/>
  <c r="B372" s="1"/>
  <c r="F37"/>
  <c r="F145"/>
  <c r="D286"/>
  <c r="D321"/>
  <c r="C408"/>
  <c r="D254"/>
  <c r="C79"/>
  <c r="C81"/>
  <c r="D362"/>
  <c r="C98"/>
  <c r="C100"/>
  <c r="C117"/>
  <c r="C119"/>
  <c r="D384"/>
  <c r="C452"/>
  <c r="C699"/>
  <c r="C493"/>
  <c r="C682"/>
  <c r="C137"/>
  <c r="C37"/>
  <c r="C145"/>
  <c r="D6" i="1"/>
  <c r="C15" i="2"/>
  <c r="B53" i="16"/>
  <c r="B68"/>
  <c r="D516" i="2"/>
  <c r="D517"/>
  <c r="F457"/>
  <c r="B23" i="3"/>
  <c r="B32"/>
  <c r="B34"/>
  <c r="B37"/>
  <c r="G457" i="2"/>
  <c r="H323"/>
  <c r="H327"/>
  <c r="H324"/>
  <c r="H326"/>
  <c r="G411"/>
  <c r="G422"/>
  <c r="G455"/>
  <c r="H369"/>
  <c r="H372"/>
  <c r="E516"/>
  <c r="C457"/>
  <c r="E214"/>
  <c r="C498"/>
  <c r="C586"/>
  <c r="E13"/>
  <c r="D493"/>
  <c r="D682"/>
  <c r="E254"/>
  <c r="D137"/>
  <c r="E362"/>
  <c r="E384"/>
  <c r="D452"/>
  <c r="D699"/>
  <c r="F384"/>
  <c r="E26" i="3"/>
  <c r="E408" i="2"/>
  <c r="H330"/>
  <c r="H337"/>
  <c r="H339"/>
  <c r="H342"/>
  <c r="E427"/>
  <c r="G63"/>
  <c r="E63"/>
  <c r="C63"/>
  <c r="F61"/>
  <c r="D61"/>
  <c r="B61"/>
  <c r="F47"/>
  <c r="B47"/>
  <c r="E491"/>
  <c r="E697"/>
  <c r="F63"/>
  <c r="D63"/>
  <c r="G61"/>
  <c r="E61"/>
  <c r="C61"/>
  <c r="F49"/>
  <c r="C47"/>
  <c r="D190"/>
  <c r="E190"/>
  <c r="H321"/>
  <c r="G137"/>
  <c r="H362"/>
  <c r="G98"/>
  <c r="G117"/>
  <c r="G452"/>
  <c r="G699"/>
  <c r="G79"/>
  <c r="G408"/>
  <c r="G493"/>
  <c r="G682"/>
  <c r="D188"/>
  <c r="B406"/>
  <c r="E334"/>
  <c r="E632"/>
  <c r="E517"/>
  <c r="F516"/>
  <c r="G516"/>
  <c r="G517"/>
  <c r="E702"/>
  <c r="F13"/>
  <c r="G13"/>
  <c r="G702"/>
  <c r="F214"/>
  <c r="E498"/>
  <c r="E586"/>
  <c r="D498"/>
  <c r="D586"/>
  <c r="F517"/>
  <c r="H459"/>
  <c r="H462"/>
  <c r="H477"/>
  <c r="H480"/>
  <c r="C509"/>
  <c r="H232"/>
  <c r="E232"/>
  <c r="D232"/>
  <c r="G232"/>
  <c r="F232"/>
  <c r="D230"/>
  <c r="E230"/>
  <c r="H230"/>
  <c r="F230"/>
  <c r="G230"/>
  <c r="F121"/>
  <c r="G121"/>
  <c r="H344"/>
  <c r="H348"/>
  <c r="E233"/>
  <c r="D233"/>
  <c r="H233"/>
  <c r="F233"/>
  <c r="G233"/>
  <c r="H231"/>
  <c r="F231"/>
  <c r="D231"/>
  <c r="E231"/>
  <c r="G231"/>
  <c r="E229"/>
  <c r="E235"/>
  <c r="G229"/>
  <c r="F229"/>
  <c r="F235"/>
  <c r="D229"/>
  <c r="D235"/>
  <c r="D237"/>
  <c r="H229"/>
  <c r="H235"/>
  <c r="G235"/>
  <c r="H237" s="1"/>
  <c r="G524" s="1"/>
  <c r="G237"/>
  <c r="D509"/>
  <c r="E509"/>
  <c r="F509"/>
  <c r="G509"/>
  <c r="H19" i="3"/>
  <c r="H34"/>
  <c r="C713" i="2"/>
  <c r="C707"/>
  <c r="D15"/>
  <c r="C17"/>
  <c r="C124"/>
  <c r="C143"/>
  <c r="D119"/>
  <c r="D160"/>
  <c r="E188"/>
  <c r="E151"/>
  <c r="C510"/>
  <c r="C706"/>
  <c r="C712"/>
  <c r="D100"/>
  <c r="E100"/>
  <c r="F100"/>
  <c r="G100"/>
  <c r="C105"/>
  <c r="C525"/>
  <c r="C554"/>
  <c r="B527"/>
  <c r="B554"/>
  <c r="G214"/>
  <c r="E6" i="1"/>
  <c r="F6"/>
  <c r="G6"/>
  <c r="H6"/>
  <c r="D525" i="2"/>
  <c r="F151"/>
  <c r="F188"/>
  <c r="H214"/>
  <c r="G498"/>
  <c r="G586"/>
  <c r="F498"/>
  <c r="F586"/>
  <c r="D105"/>
  <c r="E105"/>
  <c r="F105"/>
  <c r="G105"/>
  <c r="C141"/>
  <c r="D510"/>
  <c r="D124"/>
  <c r="D143"/>
  <c r="E119"/>
  <c r="C288"/>
  <c r="D17"/>
  <c r="C323"/>
  <c r="C718"/>
  <c r="D327"/>
  <c r="D713"/>
  <c r="D719"/>
  <c r="D707"/>
  <c r="E15"/>
  <c r="C719"/>
  <c r="C413"/>
  <c r="C13" i="3"/>
  <c r="C19"/>
  <c r="C589" i="2"/>
  <c r="C650"/>
  <c r="E510"/>
  <c r="G188"/>
  <c r="G151"/>
  <c r="D554"/>
  <c r="E525"/>
  <c r="F525"/>
  <c r="E713"/>
  <c r="E719"/>
  <c r="E707"/>
  <c r="F15"/>
  <c r="D323"/>
  <c r="D288"/>
  <c r="E17"/>
  <c r="E124"/>
  <c r="E143"/>
  <c r="F119"/>
  <c r="F124"/>
  <c r="F143"/>
  <c r="D141"/>
  <c r="E141"/>
  <c r="D184"/>
  <c r="D195"/>
  <c r="D212"/>
  <c r="E184"/>
  <c r="E195"/>
  <c r="E212"/>
  <c r="E554"/>
  <c r="F510"/>
  <c r="G119"/>
  <c r="G124"/>
  <c r="G143"/>
  <c r="E323"/>
  <c r="E288"/>
  <c r="F17"/>
  <c r="D650"/>
  <c r="D589"/>
  <c r="D413"/>
  <c r="D13" i="3"/>
  <c r="D19"/>
  <c r="D647" i="2"/>
  <c r="H188"/>
  <c r="F713"/>
  <c r="F719"/>
  <c r="G15"/>
  <c r="F707"/>
  <c r="F323"/>
  <c r="F288"/>
  <c r="G17"/>
  <c r="G288"/>
  <c r="E650"/>
  <c r="E413"/>
  <c r="E13" i="3"/>
  <c r="E19"/>
  <c r="E589" i="2"/>
  <c r="G510"/>
  <c r="G713"/>
  <c r="G707"/>
  <c r="G323"/>
  <c r="G719"/>
  <c r="F650"/>
  <c r="F413"/>
  <c r="F13" i="3"/>
  <c r="F19"/>
  <c r="F589" i="2"/>
  <c r="G413"/>
  <c r="G650"/>
  <c r="G589"/>
  <c r="G13" i="3"/>
  <c r="G19"/>
  <c r="G418" i="2"/>
  <c r="F141"/>
  <c r="F184"/>
  <c r="F391"/>
  <c r="C524"/>
  <c r="C391"/>
  <c r="D81"/>
  <c r="E81"/>
  <c r="F81"/>
  <c r="G81"/>
  <c r="C86"/>
  <c r="F153"/>
  <c r="E160"/>
  <c r="E712"/>
  <c r="F190"/>
  <c r="E706"/>
  <c r="E507"/>
  <c r="D511"/>
  <c r="D514"/>
  <c r="C514"/>
  <c r="E237"/>
  <c r="F554"/>
  <c r="G525"/>
  <c r="B56" i="3"/>
  <c r="C84"/>
  <c r="D84"/>
  <c r="C107"/>
  <c r="C68"/>
  <c r="D68"/>
  <c r="B49"/>
  <c r="B39"/>
  <c r="F706" i="2"/>
  <c r="F712"/>
  <c r="C327"/>
  <c r="C647"/>
  <c r="D145"/>
  <c r="D457"/>
  <c r="D365"/>
  <c r="F237"/>
  <c r="E511"/>
  <c r="F511"/>
  <c r="G511"/>
  <c r="F702"/>
  <c r="D601"/>
  <c r="D712"/>
  <c r="D706"/>
  <c r="E391"/>
  <c r="G554"/>
  <c r="D524"/>
  <c r="D391"/>
  <c r="C601"/>
  <c r="E718"/>
  <c r="G153"/>
  <c r="G190"/>
  <c r="F160"/>
  <c r="C595"/>
  <c r="C548"/>
  <c r="C527"/>
  <c r="C551"/>
  <c r="G184"/>
  <c r="G195"/>
  <c r="G212"/>
  <c r="G141"/>
  <c r="H184"/>
  <c r="F718"/>
  <c r="F507"/>
  <c r="E514"/>
  <c r="E327"/>
  <c r="E647"/>
  <c r="D86"/>
  <c r="C139"/>
  <c r="C598"/>
  <c r="F195"/>
  <c r="F212"/>
  <c r="D216"/>
  <c r="C701"/>
  <c r="C703"/>
  <c r="C708"/>
  <c r="D139"/>
  <c r="C148"/>
  <c r="E86"/>
  <c r="D598"/>
  <c r="G507"/>
  <c r="G514"/>
  <c r="F514"/>
  <c r="F327"/>
  <c r="F647"/>
  <c r="H190"/>
  <c r="H195"/>
  <c r="H212"/>
  <c r="G160"/>
  <c r="G706"/>
  <c r="G712"/>
  <c r="D527"/>
  <c r="D548"/>
  <c r="D595"/>
  <c r="D551"/>
  <c r="E601"/>
  <c r="D718"/>
  <c r="E524"/>
  <c r="G718"/>
  <c r="G601"/>
  <c r="C324"/>
  <c r="C163"/>
  <c r="C709"/>
  <c r="C684"/>
  <c r="C714"/>
  <c r="E595"/>
  <c r="E551"/>
  <c r="E527"/>
  <c r="E548"/>
  <c r="F524"/>
  <c r="G327"/>
  <c r="G647"/>
  <c r="F601"/>
  <c r="F86"/>
  <c r="E598"/>
  <c r="E139"/>
  <c r="D701"/>
  <c r="D703"/>
  <c r="D708"/>
  <c r="D148"/>
  <c r="E216"/>
  <c r="C499"/>
  <c r="D220"/>
  <c r="C574"/>
  <c r="C577"/>
  <c r="D163"/>
  <c r="D324"/>
  <c r="F139"/>
  <c r="E701"/>
  <c r="E703"/>
  <c r="E708"/>
  <c r="F216"/>
  <c r="E148"/>
  <c r="F548"/>
  <c r="F595"/>
  <c r="F551"/>
  <c r="F527"/>
  <c r="C326"/>
  <c r="C583"/>
  <c r="C644"/>
  <c r="D222"/>
  <c r="C369"/>
  <c r="C372"/>
  <c r="C466"/>
  <c r="D240"/>
  <c r="D242"/>
  <c r="D499"/>
  <c r="E220"/>
  <c r="D714"/>
  <c r="D709"/>
  <c r="D684"/>
  <c r="G86"/>
  <c r="F598"/>
  <c r="C715"/>
  <c r="C686"/>
  <c r="C720"/>
  <c r="C721"/>
  <c r="C688"/>
  <c r="C169"/>
  <c r="C291"/>
  <c r="C295"/>
  <c r="C424"/>
  <c r="C25" i="3"/>
  <c r="E240" i="2"/>
  <c r="E242"/>
  <c r="E222"/>
  <c r="D369"/>
  <c r="D372"/>
  <c r="D466"/>
  <c r="D271"/>
  <c r="D274"/>
  <c r="C23" i="3"/>
  <c r="C387" i="2"/>
  <c r="E324"/>
  <c r="E163"/>
  <c r="E714"/>
  <c r="E709"/>
  <c r="E684"/>
  <c r="D326"/>
  <c r="D583"/>
  <c r="D644"/>
  <c r="D720"/>
  <c r="D721"/>
  <c r="D688"/>
  <c r="D715"/>
  <c r="D686"/>
  <c r="D574"/>
  <c r="D577"/>
  <c r="E499"/>
  <c r="F220"/>
  <c r="G216"/>
  <c r="F701"/>
  <c r="F703"/>
  <c r="F708"/>
  <c r="F148"/>
  <c r="G139"/>
  <c r="D25" i="3"/>
  <c r="D424" i="2"/>
  <c r="D169"/>
  <c r="D291"/>
  <c r="D295"/>
  <c r="C297"/>
  <c r="C300"/>
  <c r="C330"/>
  <c r="C656"/>
  <c r="C302"/>
  <c r="C306"/>
  <c r="C308"/>
  <c r="C456"/>
  <c r="C659"/>
  <c r="C337"/>
  <c r="D297"/>
  <c r="D300"/>
  <c r="F324"/>
  <c r="F163"/>
  <c r="F499"/>
  <c r="G220"/>
  <c r="E574"/>
  <c r="E577"/>
  <c r="E424"/>
  <c r="E169"/>
  <c r="E291"/>
  <c r="E295"/>
  <c r="E25" i="3"/>
  <c r="C395" i="2"/>
  <c r="H216"/>
  <c r="G148"/>
  <c r="G701"/>
  <c r="G703"/>
  <c r="G708"/>
  <c r="F714"/>
  <c r="F709"/>
  <c r="F684"/>
  <c r="F222"/>
  <c r="E369"/>
  <c r="E372"/>
  <c r="E466"/>
  <c r="F240"/>
  <c r="F242"/>
  <c r="D656"/>
  <c r="D330"/>
  <c r="E720"/>
  <c r="E721"/>
  <c r="E688"/>
  <c r="E715"/>
  <c r="E686"/>
  <c r="E326"/>
  <c r="E583"/>
  <c r="E644"/>
  <c r="E271"/>
  <c r="E274"/>
  <c r="D23" i="3"/>
  <c r="D387" i="2"/>
  <c r="D302"/>
  <c r="D306"/>
  <c r="D308"/>
  <c r="D395"/>
  <c r="F720"/>
  <c r="F721"/>
  <c r="F688"/>
  <c r="F715"/>
  <c r="F686"/>
  <c r="G324"/>
  <c r="G163"/>
  <c r="F574"/>
  <c r="F577"/>
  <c r="F326"/>
  <c r="F583"/>
  <c r="F644"/>
  <c r="D337"/>
  <c r="D659"/>
  <c r="D456"/>
  <c r="E387"/>
  <c r="F271"/>
  <c r="F274"/>
  <c r="E23" i="3"/>
  <c r="G714" i="2"/>
  <c r="G709"/>
  <c r="G684"/>
  <c r="G499"/>
  <c r="H220"/>
  <c r="C422"/>
  <c r="C411"/>
  <c r="C418"/>
  <c r="C455"/>
  <c r="C462"/>
  <c r="E297"/>
  <c r="E300" s="1"/>
  <c r="G222"/>
  <c r="F369"/>
  <c r="F372"/>
  <c r="F466"/>
  <c r="G240"/>
  <c r="G242"/>
  <c r="F387"/>
  <c r="F424"/>
  <c r="F25" i="3"/>
  <c r="F169" i="2"/>
  <c r="F291"/>
  <c r="F295"/>
  <c r="C339"/>
  <c r="C342"/>
  <c r="E656"/>
  <c r="E330"/>
  <c r="F297"/>
  <c r="F300" s="1"/>
  <c r="H222"/>
  <c r="G369"/>
  <c r="G372"/>
  <c r="G466"/>
  <c r="H240"/>
  <c r="H242"/>
  <c r="D339"/>
  <c r="D342"/>
  <c r="G25" i="3"/>
  <c r="G169" i="2"/>
  <c r="G291"/>
  <c r="G295"/>
  <c r="G424"/>
  <c r="D411"/>
  <c r="D418"/>
  <c r="D455"/>
  <c r="D462"/>
  <c r="D422"/>
  <c r="C28" i="3"/>
  <c r="C32"/>
  <c r="C34"/>
  <c r="C37"/>
  <c r="C430" i="2"/>
  <c r="C471"/>
  <c r="F395"/>
  <c r="G574"/>
  <c r="G577"/>
  <c r="G720"/>
  <c r="G721"/>
  <c r="G688"/>
  <c r="G715"/>
  <c r="G686"/>
  <c r="E395"/>
  <c r="F330"/>
  <c r="F656"/>
  <c r="G583"/>
  <c r="G326"/>
  <c r="G644"/>
  <c r="E337"/>
  <c r="E456"/>
  <c r="E659"/>
  <c r="C662"/>
  <c r="C344"/>
  <c r="C348" s="1"/>
  <c r="C350" s="1"/>
  <c r="C431"/>
  <c r="C434" s="1"/>
  <c r="C436" s="1"/>
  <c r="C472"/>
  <c r="D344"/>
  <c r="D431"/>
  <c r="D472"/>
  <c r="D348"/>
  <c r="D662"/>
  <c r="E339"/>
  <c r="E342"/>
  <c r="F456"/>
  <c r="F337"/>
  <c r="F659"/>
  <c r="F455"/>
  <c r="F462"/>
  <c r="F411"/>
  <c r="F418"/>
  <c r="F422"/>
  <c r="C39" i="3"/>
  <c r="C85"/>
  <c r="D85"/>
  <c r="C108"/>
  <c r="C56"/>
  <c r="C69"/>
  <c r="D69"/>
  <c r="C46"/>
  <c r="G656" i="2"/>
  <c r="G330"/>
  <c r="E411"/>
  <c r="E418"/>
  <c r="E455"/>
  <c r="E462"/>
  <c r="E422"/>
  <c r="G297"/>
  <c r="G300"/>
  <c r="C475"/>
  <c r="C477"/>
  <c r="D28" i="3"/>
  <c r="D32"/>
  <c r="D34"/>
  <c r="D37"/>
  <c r="D430" i="2"/>
  <c r="D471"/>
  <c r="D475"/>
  <c r="D477"/>
  <c r="G302"/>
  <c r="G306" s="1"/>
  <c r="E28" i="3"/>
  <c r="E32"/>
  <c r="E34"/>
  <c r="E37"/>
  <c r="E430" i="2"/>
  <c r="E471"/>
  <c r="C86" i="3"/>
  <c r="D86"/>
  <c r="C70"/>
  <c r="D70"/>
  <c r="D56"/>
  <c r="C109"/>
  <c r="D39"/>
  <c r="D48"/>
  <c r="G659" i="2"/>
  <c r="G456"/>
  <c r="G462"/>
  <c r="G337"/>
  <c r="F339"/>
  <c r="E662"/>
  <c r="E344"/>
  <c r="E431"/>
  <c r="E472"/>
  <c r="E434"/>
  <c r="E436"/>
  <c r="D434"/>
  <c r="D436"/>
  <c r="E475"/>
  <c r="E477"/>
  <c r="F28" i="3"/>
  <c r="F32"/>
  <c r="F34"/>
  <c r="F37"/>
  <c r="F430" i="2"/>
  <c r="G339"/>
  <c r="G342"/>
  <c r="C87" i="3"/>
  <c r="D87"/>
  <c r="E39"/>
  <c r="C110"/>
  <c r="E56"/>
  <c r="C71"/>
  <c r="D71"/>
  <c r="E47"/>
  <c r="E348" i="2"/>
  <c r="F342"/>
  <c r="G344"/>
  <c r="G431"/>
  <c r="G472"/>
  <c r="G662"/>
  <c r="G348"/>
  <c r="F662"/>
  <c r="F344"/>
  <c r="F431"/>
  <c r="F472"/>
  <c r="C111" i="3"/>
  <c r="C72"/>
  <c r="D72"/>
  <c r="F46"/>
  <c r="C88"/>
  <c r="D88"/>
  <c r="F56"/>
  <c r="F39"/>
  <c r="F471" i="2"/>
  <c r="F434"/>
  <c r="F436"/>
  <c r="G28" i="3"/>
  <c r="G32"/>
  <c r="G34"/>
  <c r="G37"/>
  <c r="G430" i="2"/>
  <c r="G471"/>
  <c r="G475"/>
  <c r="G477"/>
  <c r="G434"/>
  <c r="G436"/>
  <c r="F475"/>
  <c r="F477"/>
  <c r="F348"/>
  <c r="C112" i="3"/>
  <c r="C114"/>
  <c r="C73"/>
  <c r="D73"/>
  <c r="D75"/>
  <c r="G39"/>
  <c r="G45"/>
  <c r="C89"/>
  <c r="D89"/>
  <c r="D92"/>
  <c r="E127"/>
  <c r="C130"/>
  <c r="G56"/>
  <c r="E126"/>
  <c r="C129"/>
  <c r="E129"/>
  <c r="C132"/>
  <c r="C96"/>
  <c r="C531" i="2" l="1"/>
  <c r="D350"/>
  <c r="F302"/>
  <c r="F306"/>
  <c r="E302"/>
  <c r="E306" s="1"/>
  <c r="E308" s="1"/>
  <c r="F308" s="1"/>
  <c r="G308" s="1"/>
  <c r="G598"/>
  <c r="G551"/>
  <c r="G595"/>
  <c r="G548"/>
  <c r="G527"/>
  <c r="B387"/>
  <c r="B466"/>
  <c r="B475" s="1"/>
  <c r="B601"/>
  <c r="B519"/>
  <c r="B626" l="1"/>
  <c r="B604"/>
  <c r="B623"/>
  <c r="B668"/>
  <c r="B629"/>
  <c r="B530"/>
  <c r="B395"/>
  <c r="D531"/>
  <c r="E350"/>
  <c r="E531" l="1"/>
  <c r="F350"/>
  <c r="B422"/>
  <c r="B434" s="1"/>
  <c r="B455"/>
  <c r="B462" s="1"/>
  <c r="B477" s="1"/>
  <c r="B480" s="1"/>
  <c r="C480" s="1"/>
  <c r="D480" s="1"/>
  <c r="E480" s="1"/>
  <c r="F480" s="1"/>
  <c r="G480" s="1"/>
  <c r="B411"/>
  <c r="B418" s="1"/>
  <c r="B436" s="1"/>
  <c r="B439" s="1"/>
  <c r="C439" s="1"/>
  <c r="B533"/>
  <c r="C530"/>
  <c r="D530" l="1"/>
  <c r="C533"/>
  <c r="B535"/>
  <c r="B638"/>
  <c r="B635"/>
  <c r="B665"/>
  <c r="C497"/>
  <c r="C503" s="1"/>
  <c r="D439"/>
  <c r="F531"/>
  <c r="G350"/>
  <c r="G531" s="1"/>
  <c r="E439" l="1"/>
  <c r="D497"/>
  <c r="D503" s="1"/>
  <c r="C557"/>
  <c r="C519"/>
  <c r="C665"/>
  <c r="C535"/>
  <c r="C638"/>
  <c r="C635"/>
  <c r="E530"/>
  <c r="D533"/>
  <c r="D665" l="1"/>
  <c r="D638"/>
  <c r="D535"/>
  <c r="F530"/>
  <c r="E533"/>
  <c r="C623"/>
  <c r="C604"/>
  <c r="C629"/>
  <c r="C668"/>
  <c r="C626"/>
  <c r="D557"/>
  <c r="D519"/>
  <c r="F439"/>
  <c r="E497"/>
  <c r="E503" s="1"/>
  <c r="E557" l="1"/>
  <c r="E519"/>
  <c r="F497"/>
  <c r="F503" s="1"/>
  <c r="G439"/>
  <c r="G497" s="1"/>
  <c r="G503" s="1"/>
  <c r="D668"/>
  <c r="D623"/>
  <c r="D629"/>
  <c r="D604"/>
  <c r="D626"/>
  <c r="E665"/>
  <c r="E635"/>
  <c r="E535"/>
  <c r="E638"/>
  <c r="G530"/>
  <c r="G533" s="1"/>
  <c r="F533"/>
  <c r="D635"/>
  <c r="F665" l="1"/>
  <c r="F535"/>
  <c r="F638"/>
  <c r="G535"/>
  <c r="G665"/>
  <c r="G638"/>
  <c r="G557"/>
  <c r="G519"/>
  <c r="F557"/>
  <c r="F519"/>
  <c r="E626"/>
  <c r="E623"/>
  <c r="E604"/>
  <c r="E629"/>
  <c r="E668"/>
  <c r="F626" l="1"/>
  <c r="F604"/>
  <c r="F623"/>
  <c r="F668"/>
  <c r="F629"/>
  <c r="G668"/>
  <c r="G629"/>
  <c r="G626"/>
  <c r="G604"/>
  <c r="G623"/>
  <c r="G635"/>
  <c r="F635"/>
  <c r="H35"/>
  <c r="H436"/>
  <c r="H439"/>
  <c r="H33"/>
  <c r="H37"/>
  <c r="H413"/>
  <c r="H418"/>
  <c r="H34"/>
</calcChain>
</file>

<file path=xl/sharedStrings.xml><?xml version="1.0" encoding="utf-8"?>
<sst xmlns="http://schemas.openxmlformats.org/spreadsheetml/2006/main" count="841" uniqueCount="547">
  <si>
    <t>VARIABLES DEL PROYECTO</t>
  </si>
  <si>
    <t>NECESIDADES MINIMAS DE ACTIVOS Y PASIVOS CORRIENTES</t>
  </si>
  <si>
    <t>DIAS DE COBERTURA</t>
  </si>
  <si>
    <t>EVALUACION FINANCIERA DEL PROYECTO</t>
  </si>
  <si>
    <t>Numero De Años Del Proyecto</t>
  </si>
  <si>
    <t>Programa De Produccion Del 100 Por Ciento</t>
  </si>
  <si>
    <t>Programa De Produccion (Porcentaje)</t>
  </si>
  <si>
    <t>Inversiones Fijas - Millones</t>
  </si>
  <si>
    <t xml:space="preserve"> (Iniciales  Y Reposiciones)</t>
  </si>
  <si>
    <t>* Terrenos</t>
  </si>
  <si>
    <t>* Edificios</t>
  </si>
  <si>
    <t>Depreciacion</t>
  </si>
  <si>
    <t xml:space="preserve"> * Maquinaria Y Equipo</t>
  </si>
  <si>
    <t xml:space="preserve"> * Muebles Y Enseres</t>
  </si>
  <si>
    <t xml:space="preserve"> * Herramientas</t>
  </si>
  <si>
    <t>Total Depreciacion</t>
  </si>
  <si>
    <t>Saldo En Libros Activos Depreciables</t>
  </si>
  <si>
    <t>Gastos Preoperativos (Millones)</t>
  </si>
  <si>
    <t xml:space="preserve">  Amortizacion Diferidos</t>
  </si>
  <si>
    <t>Costo Unitarios En Dolares</t>
  </si>
  <si>
    <t>Gastos Generales De Fabricacion</t>
  </si>
  <si>
    <t>Gastos Generales De Administracion - Millones</t>
  </si>
  <si>
    <t>Gastos Generales De Ventas - Millones</t>
  </si>
  <si>
    <t>Gastos Generales De Distribucion</t>
  </si>
  <si>
    <t>Tasa De Impuestos</t>
  </si>
  <si>
    <t>Dividendos (Porcentaje De Utilidades Netas</t>
  </si>
  <si>
    <t>Prestamos Bancarios - Millones</t>
  </si>
  <si>
    <t>Credito Abastecedores</t>
  </si>
  <si>
    <t>Rendimientos Financieros</t>
  </si>
  <si>
    <t>Otros Recursos (Arrendamientos-Participaciones)</t>
  </si>
  <si>
    <t>Costos Financieros (Intereses En Millones)</t>
  </si>
  <si>
    <t>Pago De Prestamos (En Millones)</t>
  </si>
  <si>
    <t>Efectivo En Caja Para Cubrir:</t>
  </si>
  <si>
    <t>* Materiales E Insumos</t>
  </si>
  <si>
    <t>* Mano De Obra Directa</t>
  </si>
  <si>
    <t>* Gastos Generales De Fabricacion</t>
  </si>
  <si>
    <t>* Gastos Generales De Administracion</t>
  </si>
  <si>
    <t>* Gastos Generales De Ventas</t>
  </si>
  <si>
    <t>* Gastos Generales De Distribucion</t>
  </si>
  <si>
    <t>Cuentas Por Cobrar</t>
  </si>
  <si>
    <t>Existencias:</t>
  </si>
  <si>
    <t>* Productos En Procesos</t>
  </si>
  <si>
    <t>* Productos Terminados</t>
  </si>
  <si>
    <t>* Inventarios De Repuestos</t>
  </si>
  <si>
    <t>Cuentas Por Pagar</t>
  </si>
  <si>
    <t>Otros Ingresos</t>
  </si>
  <si>
    <t>Otros Egresos</t>
  </si>
  <si>
    <t>Capital De Trabajo (Calculado Por El Programa)</t>
  </si>
  <si>
    <t>Tasa De Inflacion</t>
  </si>
  <si>
    <t>Tasa De Interes De Oportunidad Del Inversionista</t>
  </si>
  <si>
    <t>* En Terminos Corrientes Anual</t>
  </si>
  <si>
    <t>* En Terminos Constantes Anual</t>
  </si>
  <si>
    <t>Tasa Para Evaluacion</t>
  </si>
  <si>
    <t>AÑO</t>
  </si>
  <si>
    <t>(A Precios Del Año 1  Del Proyecto)</t>
  </si>
  <si>
    <t>Cuadro 12,9</t>
  </si>
  <si>
    <t>INGRESOS POR CONCEPTOS DE VENTAS</t>
  </si>
  <si>
    <t>(Millones del año 1)</t>
  </si>
  <si>
    <t>Fase</t>
  </si>
  <si>
    <t>Operacional</t>
  </si>
  <si>
    <t>Año</t>
  </si>
  <si>
    <t>Ingresos por Ventas</t>
  </si>
  <si>
    <t>Cuadro 12,10</t>
  </si>
  <si>
    <t>VALOR EN</t>
  </si>
  <si>
    <t>LIBROS</t>
  </si>
  <si>
    <t>EN EL</t>
  </si>
  <si>
    <t>AÑO 8</t>
  </si>
  <si>
    <t>Edificios</t>
  </si>
  <si>
    <t>Maquinaria y Equipos</t>
  </si>
  <si>
    <t xml:space="preserve">Mueble y enseres </t>
  </si>
  <si>
    <t>Total</t>
  </si>
  <si>
    <t>Cuadro 12,11</t>
  </si>
  <si>
    <t>Cuadro 12,12</t>
  </si>
  <si>
    <t>Pago de Prestamos</t>
  </si>
  <si>
    <t>Cuadro 12,13</t>
  </si>
  <si>
    <t>COSTOS DE MATERIA PRIMA DE LAS UNIDADES VENDIDAS</t>
  </si>
  <si>
    <t>Unidades Producidas (Miles)</t>
  </si>
  <si>
    <t>Costos Unitario (Unidades Monetarias)</t>
  </si>
  <si>
    <t>Total Costos Materia Prima (Millones)</t>
  </si>
  <si>
    <t>Cuadro 12,14</t>
  </si>
  <si>
    <t>COSTO DE LA MANO DE OBRA DE LAS UNIDADES VENDIDAS</t>
  </si>
  <si>
    <t>Cuadro 12,15</t>
  </si>
  <si>
    <t>Cuadro 12,16</t>
  </si>
  <si>
    <t>Materiales e Insumos</t>
  </si>
  <si>
    <t>Mano de Obra Directa</t>
  </si>
  <si>
    <t>1. COSTOS DE VENTAS</t>
  </si>
  <si>
    <t>Gastos Generales de Ventas</t>
  </si>
  <si>
    <t>2. GASTOS OPERATIVOS</t>
  </si>
  <si>
    <t>COSTOS DE OPERACIÓN (1+2)</t>
  </si>
  <si>
    <t>TOTAL COSTOS DE OPERACIÓN</t>
  </si>
  <si>
    <t>Cuadro 12,17</t>
  </si>
  <si>
    <t>Cobertura</t>
  </si>
  <si>
    <t>Saldo de Efectivo Requerido en Caja</t>
  </si>
  <si>
    <t>CAPITAL DE TRABAJO - SALDO DE EFECTIVO REQUERIDO EN CAJA</t>
  </si>
  <si>
    <t>Cuadro 12,18</t>
  </si>
  <si>
    <t>CALCULO DEL CAPITAL DE TRABAJO</t>
  </si>
  <si>
    <t>Activo Corriente</t>
  </si>
  <si>
    <t>1. Saldo de Efectivo</t>
  </si>
  <si>
    <t xml:space="preserve">    Requerido en Caja</t>
  </si>
  <si>
    <t>2. Cuentas por Cobrar</t>
  </si>
  <si>
    <t>3. Existencias o Inventarios</t>
  </si>
  <si>
    <t xml:space="preserve">    Materiales e Insumos</t>
  </si>
  <si>
    <t xml:space="preserve">    Productos en Proceso</t>
  </si>
  <si>
    <t xml:space="preserve">    Productos Terminados</t>
  </si>
  <si>
    <t>Total Activo Corriente</t>
  </si>
  <si>
    <t>Incremento del Activo Corriente</t>
  </si>
  <si>
    <t>Pasivo Corriente</t>
  </si>
  <si>
    <t>1. Cuentas por Pagar</t>
  </si>
  <si>
    <t xml:space="preserve">    Mano de Obra Directa</t>
  </si>
  <si>
    <t xml:space="preserve">    Gastos Generales de Ventas</t>
  </si>
  <si>
    <t>CAPITAL DE TRABAJO</t>
  </si>
  <si>
    <t>(Activo Corriente menos Pasivo Corriente)</t>
  </si>
  <si>
    <t>Total Pasivo Corriente</t>
  </si>
  <si>
    <t>Incremento del Pasivo Corriente</t>
  </si>
  <si>
    <t>Incremento del Capital de Trabajo</t>
  </si>
  <si>
    <t>Cuadro 12,19</t>
  </si>
  <si>
    <t>INVERSIONES EN EL PROYECTO</t>
  </si>
  <si>
    <t>1. Inversiones Fijas</t>
  </si>
  <si>
    <t xml:space="preserve">    (Iniciales y Reposiciones)</t>
  </si>
  <si>
    <t xml:space="preserve">    Terrenos</t>
  </si>
  <si>
    <t xml:space="preserve">    Edificios</t>
  </si>
  <si>
    <t xml:space="preserve">    Maquinaria y Equipos</t>
  </si>
  <si>
    <t xml:space="preserve">    Muebles y Enseres</t>
  </si>
  <si>
    <t xml:space="preserve">    Herramientas</t>
  </si>
  <si>
    <t xml:space="preserve">    Total Inversiones</t>
  </si>
  <si>
    <t xml:space="preserve"> </t>
  </si>
  <si>
    <t>2. Gastos Preoperativos</t>
  </si>
  <si>
    <t>3. Incremento del</t>
  </si>
  <si>
    <t xml:space="preserve">    Capital de Trabajo</t>
  </si>
  <si>
    <t>TOTAL INVERSIONES</t>
  </si>
  <si>
    <t>Cuadro 12,20</t>
  </si>
  <si>
    <t>ESTADO DE GANANCIAS Y PERDIDAS O ESTADO DE RESULTADOS</t>
  </si>
  <si>
    <t>Ingresos por Concepto de Ventas</t>
  </si>
  <si>
    <t>Menos Costos de Ventas</t>
  </si>
  <si>
    <t>Cuadro 12,21</t>
  </si>
  <si>
    <t>(En la forma que lo exige la banca comercial)</t>
  </si>
  <si>
    <t>Mas Otros Ingresos</t>
  </si>
  <si>
    <t>Menos Costos de Operación</t>
  </si>
  <si>
    <t>Menos Otros Egresos</t>
  </si>
  <si>
    <t>Utilidad Antes de Impuestos</t>
  </si>
  <si>
    <t>Menos Impuestos (30%)</t>
  </si>
  <si>
    <t>Utilidad Neta</t>
  </si>
  <si>
    <t>Menos Dividendos</t>
  </si>
  <si>
    <t>Utilidades no Repartidas</t>
  </si>
  <si>
    <t>Acumuladas (Reservas)</t>
  </si>
  <si>
    <t>Utilidad Bruta en Ventas</t>
  </si>
  <si>
    <t>Menos Gastos Operativos</t>
  </si>
  <si>
    <t>Utilidad Operativa</t>
  </si>
  <si>
    <t>Cuadro 12,22</t>
  </si>
  <si>
    <t>ACTIVOS TOTALES</t>
  </si>
  <si>
    <t>Inversiones Fijas</t>
  </si>
  <si>
    <t>Gastos Preoperativos</t>
  </si>
  <si>
    <t>Incremento del Activo</t>
  </si>
  <si>
    <t>Corriente</t>
  </si>
  <si>
    <t>TOTAL ACTIVOS FIJOS</t>
  </si>
  <si>
    <t>Cuadro 12,23</t>
  </si>
  <si>
    <t>RECURSOS FINANCIEROS</t>
  </si>
  <si>
    <t>Aportes de Capital o</t>
  </si>
  <si>
    <t>Capital Social</t>
  </si>
  <si>
    <t>Prestamos Bancarios</t>
  </si>
  <si>
    <t>Incremento en el Pasivo Corrientes</t>
  </si>
  <si>
    <t>Otros Recursos (Arrendamientos</t>
  </si>
  <si>
    <t>Participaciones, Etc.)</t>
  </si>
  <si>
    <t>TOTAL RECURSOS FINANCIEROS</t>
  </si>
  <si>
    <t>CUADRO DE FUENTES Y USOS DE FONDO DE EFECTIVOS</t>
  </si>
  <si>
    <t>ENTRADAS DE EFECTIVO</t>
  </si>
  <si>
    <t>1. Recursos Financieros</t>
  </si>
  <si>
    <t>Cuadro 12,24</t>
  </si>
  <si>
    <t>Valor</t>
  </si>
  <si>
    <t>Remanente</t>
  </si>
  <si>
    <t>Ultimo</t>
  </si>
  <si>
    <t xml:space="preserve">2. Ingresos por Concepto </t>
  </si>
  <si>
    <t xml:space="preserve">    de Ventas</t>
  </si>
  <si>
    <t xml:space="preserve">3. Valor Remanente en el Ultimo </t>
  </si>
  <si>
    <t xml:space="preserve">    Año</t>
  </si>
  <si>
    <t>SALIDAS DE EFECTIVO</t>
  </si>
  <si>
    <t>1. Incremento de Activos</t>
  </si>
  <si>
    <t xml:space="preserve">   Totales</t>
  </si>
  <si>
    <t>2. Costos de Operación, Netos</t>
  </si>
  <si>
    <t xml:space="preserve">    (Intereses)</t>
  </si>
  <si>
    <t>4. Pago de Prestamos</t>
  </si>
  <si>
    <t>5. Impuestos</t>
  </si>
  <si>
    <t>6. Dividendos</t>
  </si>
  <si>
    <t>TOTAL ENTRADAS EFECTIVO</t>
  </si>
  <si>
    <t>TOTAL SALIDAS EFECTIVO</t>
  </si>
  <si>
    <t>ENTRADAS MENOS SALIDAS</t>
  </si>
  <si>
    <t>SALDO ACUMULADO DE EFECTIVO</t>
  </si>
  <si>
    <t>2. Utilidad Operativa</t>
  </si>
  <si>
    <t>5. Valor Remanente en el Ultimo</t>
  </si>
  <si>
    <t xml:space="preserve">    año</t>
  </si>
  <si>
    <t>3. Pago de Prestamos</t>
  </si>
  <si>
    <t>4. Impuestos</t>
  </si>
  <si>
    <t>5. Dividendos</t>
  </si>
  <si>
    <t>Cuadro 12,25</t>
  </si>
  <si>
    <t>BALANCE PROYECTADO</t>
  </si>
  <si>
    <t>ACTIVOS</t>
  </si>
  <si>
    <t>Activos Corrientes</t>
  </si>
  <si>
    <t>1. Efectivo</t>
  </si>
  <si>
    <t>3. Inventario de Materias Primas</t>
  </si>
  <si>
    <t>4. Inventario de Productos en Proceso</t>
  </si>
  <si>
    <t>5. Inventario de Productos Terminados</t>
  </si>
  <si>
    <t>6. Inventario de Repuestos y Suministros</t>
  </si>
  <si>
    <t>Total Activos Corrientes</t>
  </si>
  <si>
    <t>Activos Fijos</t>
  </si>
  <si>
    <t>No Depreciables</t>
  </si>
  <si>
    <t>7. Terrenos</t>
  </si>
  <si>
    <t>Depreciables</t>
  </si>
  <si>
    <t>8. Edificios</t>
  </si>
  <si>
    <t>9. Maquinaria y Equipos</t>
  </si>
  <si>
    <t>10. Muebles y Enseres</t>
  </si>
  <si>
    <t>12. Herramientas</t>
  </si>
  <si>
    <t>Total Activos Fijos</t>
  </si>
  <si>
    <t>Activos Diferidos</t>
  </si>
  <si>
    <t>13. Gastos Preoperativos</t>
  </si>
  <si>
    <t>Total Activos Diferidos</t>
  </si>
  <si>
    <t>TOTAL ACTIVOS</t>
  </si>
  <si>
    <t>PASIVO Y PATRIMONIO</t>
  </si>
  <si>
    <t>Pasivo</t>
  </si>
  <si>
    <t>14. Pasivo Corriente</t>
  </si>
  <si>
    <t xml:space="preserve">15. Prestamos a Corto-Mediano y </t>
  </si>
  <si>
    <t>Largo Plazo</t>
  </si>
  <si>
    <t>Total Pasivo</t>
  </si>
  <si>
    <t>Patrimonio</t>
  </si>
  <si>
    <t>16. Capital Social</t>
  </si>
  <si>
    <t>17. Reservas</t>
  </si>
  <si>
    <t>Total Patrimonio</t>
  </si>
  <si>
    <t>TOTAL PASIVO-PATRIMONIO</t>
  </si>
  <si>
    <t>UNIDADES -(miles $)</t>
  </si>
  <si>
    <t>PUNTO DE EQUILIBRIO</t>
  </si>
  <si>
    <t>F = COSTOS FIJOS - (miles $)</t>
  </si>
  <si>
    <t>v= COSTOS VARIABLES /UNIDAD (CV/Unidades)</t>
  </si>
  <si>
    <t>Cv= COSTOS VARIABLES (miles $)</t>
  </si>
  <si>
    <t>IQ= INGRESOS POR VTAS CAPAC.TOTAL</t>
  </si>
  <si>
    <t>IV= COSTOS VARIABLES CAPAC.TOTAL</t>
  </si>
  <si>
    <t>Cuadro 12,28-1</t>
  </si>
  <si>
    <t>Cuadro 12,26</t>
  </si>
  <si>
    <t xml:space="preserve"> 4.Capital de trabajo neto (unidades monetarias)</t>
  </si>
  <si>
    <t xml:space="preserve"> 1.Rotación de inventarios</t>
  </si>
  <si>
    <t xml:space="preserve"> 6.Período promedio de cobro (días)</t>
  </si>
  <si>
    <t xml:space="preserve"> 1.Indice de endeudamiento total(%)</t>
  </si>
  <si>
    <t xml:space="preserve"> 2.Indice de endeudamiento a corto plazo(%)</t>
  </si>
  <si>
    <t xml:space="preserve"> 3.Indice de endeudamiento a largo plazo(%)</t>
  </si>
  <si>
    <t xml:space="preserve"> 5.Indice de participación patrimonial(%)</t>
  </si>
  <si>
    <t xml:space="preserve"> 6.Razón deuda a largo plazo a capital</t>
  </si>
  <si>
    <t>d.INDICADORES DE COSTOS</t>
  </si>
  <si>
    <t xml:space="preserve"> 2.Indice de gastos operativos(%)</t>
  </si>
  <si>
    <t xml:space="preserve"> 3.Indice de costos financieros(%)</t>
  </si>
  <si>
    <t>e.INDICADORES DE RENTABILIDAD</t>
  </si>
  <si>
    <t xml:space="preserve"> 1.Indice de rendimiento bruto en ventas(%)</t>
  </si>
  <si>
    <t xml:space="preserve"> 2.Indice de rendimiento operativo en ventas(%)</t>
  </si>
  <si>
    <t xml:space="preserve"> 3.Indice de rendimiento neto en ventas(%)</t>
  </si>
  <si>
    <t xml:space="preserve"> 4.Indice de rendimiento patrimonial(%)</t>
  </si>
  <si>
    <t xml:space="preserve"> 5.Indice de rendimiento de la inversión(%)</t>
  </si>
  <si>
    <t>Cuadro 12,27</t>
  </si>
  <si>
    <t xml:space="preserve"> 7.Rotación de activo corriente o circulante (# Veces)</t>
  </si>
  <si>
    <t>Cuadros:</t>
  </si>
  <si>
    <t xml:space="preserve"> 9.Período promedio de cuentas por pagar (días)</t>
  </si>
  <si>
    <t xml:space="preserve"> 1. Indice de costos de ventas(%)</t>
  </si>
  <si>
    <t>Cuadro 12,28</t>
  </si>
  <si>
    <t>Expresado en Unidades</t>
  </si>
  <si>
    <t>Expresado en Unidades Monetarias (Millones)</t>
  </si>
  <si>
    <t xml:space="preserve"> de Equilibrio (%)</t>
  </si>
  <si>
    <t>Inversión</t>
  </si>
  <si>
    <t>Nivel de Producción</t>
  </si>
  <si>
    <t>DEPRECIACIÓN DE INVERSIONES FIJAS</t>
  </si>
  <si>
    <t>AMORTIZACIÓN DE DIFERIDOS</t>
  </si>
  <si>
    <t>Amortización de Diferidos</t>
  </si>
  <si>
    <t>COSTOS DE FINANCIACIÓN Y PAGO PRESTAMOS</t>
  </si>
  <si>
    <t>Costos de Financiación e Intereses</t>
  </si>
  <si>
    <t>GASTOS GENERALES DE FABRICACIÓN DE LAS UNIDADES VENDIDAS</t>
  </si>
  <si>
    <t>COSTOS DE OPERACIÓN Y FINANCIACIÓN</t>
  </si>
  <si>
    <t>Gastos Generales de Fabricación</t>
  </si>
  <si>
    <t>Depreciación</t>
  </si>
  <si>
    <t>Gastos Generales de Administración</t>
  </si>
  <si>
    <t>Gastos Generales de Distribución</t>
  </si>
  <si>
    <t>COSTOS DE FINANCIACIÓN (Intereses)</t>
  </si>
  <si>
    <t>Y FINANCIACIÓN</t>
  </si>
  <si>
    <t>Días de</t>
  </si>
  <si>
    <t xml:space="preserve">    Gastos Generales de Fabricación</t>
  </si>
  <si>
    <t xml:space="preserve">    Gastos Generales de Administración</t>
  </si>
  <si>
    <t xml:space="preserve">    Gastos Generales de Distribución</t>
  </si>
  <si>
    <t>y de Financiación</t>
  </si>
  <si>
    <t>Menos Costos de Financiación</t>
  </si>
  <si>
    <t>(Iniciales y Reposición)</t>
  </si>
  <si>
    <t>Crédito de los Abastecedores</t>
  </si>
  <si>
    <t xml:space="preserve">    de Diferidos</t>
  </si>
  <si>
    <t xml:space="preserve">    de Depreciación y de Amortización</t>
  </si>
  <si>
    <t>3. Costos de Financiación</t>
  </si>
  <si>
    <t>3. Depreciación</t>
  </si>
  <si>
    <t>4. Amortización de Diferidos</t>
  </si>
  <si>
    <t>2. Costos de Financiación</t>
  </si>
  <si>
    <t>11. Vehículos</t>
  </si>
  <si>
    <t>INDICADORES PARA LOS ANÁLISIS FINANCIEROS</t>
  </si>
  <si>
    <t xml:space="preserve"> 2.Disponibilidad de inventario de materia prima ( # veces)</t>
  </si>
  <si>
    <t xml:space="preserve"> 3.Rotación de inventario productos terminados ( # veces)</t>
  </si>
  <si>
    <t xml:space="preserve"> 4.Disponibilidad de inventario de productos terminados(# veces)</t>
  </si>
  <si>
    <t xml:space="preserve"> 5.Rotación de Cartera (# veces)</t>
  </si>
  <si>
    <t xml:space="preserve"> 8.Rotación de cuentas por pagar (# veces)</t>
  </si>
  <si>
    <t>10.Rotación del activo fijo(# veces)</t>
  </si>
  <si>
    <t>11.Rotación del activo total (# veces)</t>
  </si>
  <si>
    <t xml:space="preserve"> 4.Indice de cobertura de intereses (# veces)</t>
  </si>
  <si>
    <t>Tasa de la Utilización de la Capacidad en el Punto</t>
  </si>
  <si>
    <t xml:space="preserve"> 2.Prueba ácida o razón ácida (# veces)</t>
  </si>
  <si>
    <t xml:space="preserve"> 3.Respaldo de activos fijos (# veces)</t>
  </si>
  <si>
    <t xml:space="preserve"> 1.Razón corriente o circulante (# veces)</t>
  </si>
  <si>
    <t>Prestamos</t>
  </si>
  <si>
    <t>Ingresos por concepto de ventas</t>
  </si>
  <si>
    <t>Valor Remanente en el ultimo año</t>
  </si>
  <si>
    <t>Inversiones basicas</t>
  </si>
  <si>
    <t>Costos de operación netos de</t>
  </si>
  <si>
    <t>depreciacion y amortizacion diferidos</t>
  </si>
  <si>
    <t>Costos de Financiacion</t>
  </si>
  <si>
    <t>Pago prestamos</t>
  </si>
  <si>
    <t>Impuestos</t>
  </si>
  <si>
    <t>FLUJO DE EFECTIVO NETO (FEN)</t>
  </si>
  <si>
    <t>en el</t>
  </si>
  <si>
    <t>Cuadro 13,2</t>
  </si>
  <si>
    <t>FLUJO DE EFECTIVO NETO</t>
  </si>
  <si>
    <t>TIR</t>
  </si>
  <si>
    <r>
      <t xml:space="preserve">PUNTO DE EQUILIBRIO EXPRESADO EN UNIDADES - </t>
    </r>
    <r>
      <rPr>
        <b/>
        <sz val="12"/>
        <rFont val="Arial"/>
        <family val="2"/>
      </rPr>
      <t>x=F/(p-v)</t>
    </r>
  </si>
  <si>
    <r>
      <t xml:space="preserve">Pto de Equilibrio Expresado en Unidades </t>
    </r>
    <r>
      <rPr>
        <b/>
        <sz val="12"/>
        <rFont val="Arial"/>
        <family val="2"/>
      </rPr>
      <t>x=F/(p-v)</t>
    </r>
  </si>
  <si>
    <r>
      <t xml:space="preserve">PUNTO DE EQUILIBRIO EXPRESADO EN TERMINO DE VENTAS - </t>
    </r>
    <r>
      <rPr>
        <b/>
        <sz val="12"/>
        <rFont val="Arial"/>
        <family val="2"/>
      </rPr>
      <t>I=p[F/(p-v)] (Millones)</t>
    </r>
  </si>
  <si>
    <r>
      <t xml:space="preserve">Pto de Equilibrio Expresado en Term de Vtas </t>
    </r>
    <r>
      <rPr>
        <b/>
        <sz val="12"/>
        <rFont val="Arial"/>
        <family val="2"/>
      </rPr>
      <t xml:space="preserve"> - I=p[F/(p-v)]</t>
    </r>
  </si>
  <si>
    <r>
      <t>TASA DE UTILIZACIÓN DE LA CAPACIDAD EN EL PUNTO DE EQUILIBRIO - NU</t>
    </r>
    <r>
      <rPr>
        <b/>
        <sz val="12"/>
        <rFont val="Arial"/>
        <family val="2"/>
      </rPr>
      <t>=F/(IQ-VQ) (%)</t>
    </r>
  </si>
  <si>
    <r>
      <t xml:space="preserve">Tasa Utilizac. Capac. En el Pto de Equilibrio </t>
    </r>
    <r>
      <rPr>
        <b/>
        <sz val="12"/>
        <rFont val="Arial"/>
        <family val="2"/>
      </rPr>
      <t xml:space="preserve"> - NU=F/(IQ-VQ) (%)</t>
    </r>
  </si>
  <si>
    <t>TOTAL</t>
  </si>
  <si>
    <t>TOTAL COSTOS</t>
  </si>
  <si>
    <t>Otros</t>
  </si>
  <si>
    <t>CANTIDAD</t>
  </si>
  <si>
    <t>CONCEPTO</t>
  </si>
  <si>
    <t>CANT.</t>
  </si>
  <si>
    <t>Seguros</t>
  </si>
  <si>
    <r>
      <t>Fuente:</t>
    </r>
    <r>
      <rPr>
        <sz val="11"/>
        <rFont val="Times New Roman"/>
        <family val="1"/>
      </rPr>
      <t xml:space="preserve"> elaboración propia, diciembre 2008</t>
    </r>
  </si>
  <si>
    <t xml:space="preserve">TABLA </t>
  </si>
  <si>
    <t>MUEBLES Y ENSERES</t>
  </si>
  <si>
    <t>Fuente: elaboración propia, diciembre 2008</t>
  </si>
  <si>
    <t>TABLA</t>
  </si>
  <si>
    <t>TASA</t>
  </si>
  <si>
    <t>Inversion inicial</t>
  </si>
  <si>
    <t>Fujo de caja año 1</t>
  </si>
  <si>
    <t>Fujo de caja año 2</t>
  </si>
  <si>
    <t>Fujo de caja año 3</t>
  </si>
  <si>
    <t>Fujo de caja año 4</t>
  </si>
  <si>
    <t>Fujo de caja año 5</t>
  </si>
  <si>
    <t>CÁLCULO DEL TIR</t>
  </si>
  <si>
    <t>MES</t>
  </si>
  <si>
    <t>RELACION BENEFICIO COSTO</t>
  </si>
  <si>
    <t>(B/C) i = suma  vpn Ingresos/ suma vpn Egresos.</t>
  </si>
  <si>
    <t>TASA(i)</t>
  </si>
  <si>
    <t xml:space="preserve"> B/C=     VPN INGRESOS</t>
  </si>
  <si>
    <t>=</t>
  </si>
  <si>
    <t xml:space="preserve">              VPN EGRESOS</t>
  </si>
  <si>
    <t>VPN (15,73%)</t>
  </si>
  <si>
    <t>(B/C) (15,73%)</t>
  </si>
  <si>
    <t>VPN ING.</t>
  </si>
  <si>
    <t>CÁLCULO DEL VPN INGRESOS</t>
  </si>
  <si>
    <t>CÁLCULO DEL VPN EGRESOS</t>
  </si>
  <si>
    <t>VPN EGRE.</t>
  </si>
  <si>
    <t>VPN=</t>
  </si>
  <si>
    <t>VPN INGRESOS =</t>
  </si>
  <si>
    <t xml:space="preserve">VPN EGRESOS = </t>
  </si>
  <si>
    <t>B/C=</t>
  </si>
  <si>
    <t xml:space="preserve"> VPN</t>
  </si>
  <si>
    <r>
      <t xml:space="preserve">VPN ING. </t>
    </r>
    <r>
      <rPr>
        <sz val="12"/>
        <rFont val="Arial"/>
        <family val="2"/>
      </rPr>
      <t>-</t>
    </r>
  </si>
  <si>
    <t>*Equipo de computo y entrenimiento</t>
  </si>
  <si>
    <t>Precio De Venta Por Unidad  mensual</t>
  </si>
  <si>
    <t>Equipo de computo y entreten.</t>
  </si>
  <si>
    <t>Total Costos mano de obra (Millones)</t>
  </si>
  <si>
    <t xml:space="preserve">    Equipo de computo y entret.</t>
  </si>
  <si>
    <t>Fujo de caja año 6</t>
  </si>
  <si>
    <t xml:space="preserve">p= Precio Unitario </t>
  </si>
  <si>
    <t>Servicios Vendidos al año</t>
  </si>
  <si>
    <t>Servicios prestados</t>
  </si>
  <si>
    <t>Servicios vendidos</t>
  </si>
  <si>
    <t>INVERSION</t>
  </si>
  <si>
    <t>RECURSO</t>
  </si>
  <si>
    <t>VALOR UNITARIO</t>
  </si>
  <si>
    <t>VALOR TOTAL</t>
  </si>
  <si>
    <t>DEPRECIACION</t>
  </si>
  <si>
    <t>EQUIPOS MEDICOS</t>
  </si>
  <si>
    <t>SOFTWARE (CLIENTES)</t>
  </si>
  <si>
    <t>FONENDOSCOPIO</t>
  </si>
  <si>
    <t>TENSIOMETRO DE PARED</t>
  </si>
  <si>
    <t>BALANZA</t>
  </si>
  <si>
    <t>NEGATOSCOPIO</t>
  </si>
  <si>
    <t>EQUIPO DE ORGANOS</t>
  </si>
  <si>
    <t>CARRITO DE EMERGENCIAS</t>
  </si>
  <si>
    <t>METRO</t>
  </si>
  <si>
    <t>EQUIPOS DE OFICINA</t>
  </si>
  <si>
    <t>COMPUTADOR</t>
  </si>
  <si>
    <t>IMPRESORA MULTIFUNCIONAL</t>
  </si>
  <si>
    <t>SELLOS</t>
  </si>
  <si>
    <t>COSEDORA</t>
  </si>
  <si>
    <t>PERFORADORA</t>
  </si>
  <si>
    <t>SACA GANCHOS</t>
  </si>
  <si>
    <t>TOTAL HERRAMIENTAS Y EQUIPOS</t>
  </si>
  <si>
    <t>ESCRITORIO</t>
  </si>
  <si>
    <t>ARCHIVADOR</t>
  </si>
  <si>
    <t>SILLAS</t>
  </si>
  <si>
    <t>GRADA PACIENTES</t>
  </si>
  <si>
    <t>CAMILLA</t>
  </si>
  <si>
    <t>PAPELERAS DE PIE</t>
  </si>
  <si>
    <t>SILLAS SALA DE ESPERA (MULTIPLE DE 4 SILLAS)</t>
  </si>
  <si>
    <t>PIJAMAS (ENFERMERA)</t>
  </si>
  <si>
    <t>BATAS</t>
  </si>
  <si>
    <t>EDIFICACIONES</t>
  </si>
  <si>
    <t>VALOR DE LA INFRAESTRUCTURA</t>
  </si>
  <si>
    <t>COSTOS DIRECTOS DEL PROGRAMA DE ATENCIÓN INTEGRAL EN VIH/SIDA</t>
  </si>
  <si>
    <t>SERVICIO</t>
  </si>
  <si>
    <t>COSTO INDIVIDUAL</t>
  </si>
  <si>
    <t>FRECUENCIA ANUAL</t>
  </si>
  <si>
    <t>COSTOS AÑO</t>
  </si>
  <si>
    <t>COSTOS  MES</t>
  </si>
  <si>
    <t>CONSULTAS ESPECIALISTAS</t>
  </si>
  <si>
    <t>SALARIO MENSUAL</t>
  </si>
  <si>
    <t>SALARIO ANUAL</t>
  </si>
  <si>
    <t xml:space="preserve"> No. PACIENTES</t>
  </si>
  <si>
    <t>No. CONSULTAS ANUAL</t>
  </si>
  <si>
    <t>VALOR CONSULTA</t>
  </si>
  <si>
    <t>Inmunología o infectología</t>
  </si>
  <si>
    <t>Psicología</t>
  </si>
  <si>
    <t>Nutrición</t>
  </si>
  <si>
    <t>Trabajo Social</t>
  </si>
  <si>
    <t>TEC</t>
  </si>
  <si>
    <t>SERVICIOS A CONTRATAR</t>
  </si>
  <si>
    <t>Odontología</t>
  </si>
  <si>
    <t>Rehabilitación</t>
  </si>
  <si>
    <t>COSTOS DE PERSONAL SALUD</t>
  </si>
  <si>
    <t>TOTAL MANO DE OBRA</t>
  </si>
  <si>
    <t>Inmunólogo</t>
  </si>
  <si>
    <t>Psicólogo</t>
  </si>
  <si>
    <t>Nutricionista</t>
  </si>
  <si>
    <t>INSUMOS PARA CONSULTAS</t>
  </si>
  <si>
    <t>Trabajador Social</t>
  </si>
  <si>
    <t>Enfermera</t>
  </si>
  <si>
    <t>EXÁMENES DE LABORATORIO</t>
  </si>
  <si>
    <t>Cuadro hemático</t>
  </si>
  <si>
    <t>Proteínas totales y albumina</t>
  </si>
  <si>
    <t>Creatinina</t>
  </si>
  <si>
    <t>Parcial de orina</t>
  </si>
  <si>
    <t>Transaminasa ALT (SGPT)</t>
  </si>
  <si>
    <t>Perfil  lipidico</t>
  </si>
  <si>
    <t>Glicemia ayunas</t>
  </si>
  <si>
    <t>Serología sífilis</t>
  </si>
  <si>
    <t>Serología hepatitis  B</t>
  </si>
  <si>
    <t>Serología hepatitis A</t>
  </si>
  <si>
    <t>Anticuerpos hepatitis C</t>
  </si>
  <si>
    <t>Tuberculina(PPD)</t>
  </si>
  <si>
    <t>BK seriado esputo</t>
  </si>
  <si>
    <t>Radiografia torax</t>
  </si>
  <si>
    <t>Citología vaginal</t>
  </si>
  <si>
    <t>Recuento CD 4</t>
  </si>
  <si>
    <t>Carga viral vih</t>
  </si>
  <si>
    <t>MEDICAMENTOS</t>
  </si>
  <si>
    <t>Promedio medicamentos paciente</t>
  </si>
  <si>
    <t>VACUNACIÓN</t>
  </si>
  <si>
    <t>TOTAL INSUMOS</t>
  </si>
  <si>
    <t>MENSUAL</t>
  </si>
  <si>
    <t>ANUAL</t>
  </si>
  <si>
    <t>COSTOS DE PRODUCCIÓN</t>
  </si>
  <si>
    <t>PROYECCIÓN DE VENTAS</t>
  </si>
  <si>
    <t>TOTAL COSTOS DIRECTOS POR PACIENTE</t>
  </si>
  <si>
    <t>TOTAL GASTOS ADMINISTRACIÓN POR PACIENTE</t>
  </si>
  <si>
    <t>TOTAL COSTOS Y GASTOS</t>
  </si>
  <si>
    <t>PORCENTAJE 9% INFLACIÓN</t>
  </si>
  <si>
    <t>TOTAL VALOR PAQUETE</t>
  </si>
  <si>
    <t>COSTO UNITARIO DE INSUMOS</t>
  </si>
  <si>
    <t>COSTO UNITARIO DE MANO DE OBRA</t>
  </si>
  <si>
    <t>INDICE PORCENTUAL DE INFLACION</t>
  </si>
  <si>
    <t>TOTAL INSUMOS + MO CONSULTA</t>
  </si>
  <si>
    <t>GASTOS DE PERSONAL</t>
  </si>
  <si>
    <t>GASTOS ADMINISTRATIVOS</t>
  </si>
  <si>
    <t>PUBLICIDAD</t>
  </si>
  <si>
    <t>GASTOS DE FUNCIONAMIENTO</t>
  </si>
  <si>
    <t>TOTAL GASTOS</t>
  </si>
  <si>
    <t>TOTAL GASTOS POR PACIENTE</t>
  </si>
  <si>
    <t>CARGOS ADMINISTRATIVOS Y DE VENTAS</t>
  </si>
  <si>
    <t xml:space="preserve">No Empleados </t>
  </si>
  <si>
    <t>TIPO DE CONTRATO</t>
  </si>
  <si>
    <t>VALOR MENSUAL</t>
  </si>
  <si>
    <t>GASTOS DE PERSONAL MES</t>
  </si>
  <si>
    <t>GASTOS DE PERSONAL AÑO</t>
  </si>
  <si>
    <t>ADMINISTRADOR</t>
  </si>
  <si>
    <t>Prestaciòn de Servicios</t>
  </si>
  <si>
    <t>PERSONAL DE ASEO</t>
  </si>
  <si>
    <t>Prestaciòn de Servicios (2 HORAS DIA)</t>
  </si>
  <si>
    <t>SECRETARIA</t>
  </si>
  <si>
    <t>Prestacion de Servicios</t>
  </si>
  <si>
    <t>CONTADOR</t>
  </si>
  <si>
    <t>TOTAL GASTOS DE PERSONAL AL MES</t>
  </si>
  <si>
    <t>GASTOS ADMINISTRATIVOS Y DE VENTAS</t>
  </si>
  <si>
    <t>GASTO MENSUAL</t>
  </si>
  <si>
    <t>GASTO ANUAL</t>
  </si>
  <si>
    <t>Pagos por arrendamientos</t>
  </si>
  <si>
    <t>Suministros de Oficina - Papelería</t>
  </si>
  <si>
    <t>Internet</t>
  </si>
  <si>
    <t>Aseo</t>
  </si>
  <si>
    <t>Suscripciones y Afiliaciones</t>
  </si>
  <si>
    <t>Cargos por servicios bancarios</t>
  </si>
  <si>
    <t>Reparaciones y mantenimiento</t>
  </si>
  <si>
    <t>Servicios Públicos</t>
  </si>
  <si>
    <t>Telefono</t>
  </si>
  <si>
    <t>Celular</t>
  </si>
  <si>
    <t>Agua</t>
  </si>
  <si>
    <t>Energía</t>
  </si>
  <si>
    <t>Gas</t>
  </si>
  <si>
    <t>IMPUESTOS</t>
  </si>
  <si>
    <t>TOTAL GASTOS ADMINISTRATIVOS</t>
  </si>
  <si>
    <t>GASTOS DE VENTAS</t>
  </si>
  <si>
    <t>Portafolio de servicios (contratante)</t>
  </si>
  <si>
    <t>Afiches (contratante y consultorios)</t>
  </si>
  <si>
    <t>Cartillas (usuarios)</t>
  </si>
  <si>
    <t>TOTAL PUBLICIDAD</t>
  </si>
  <si>
    <t>TOTAL GASTOS ADMÓN Y VENTAS</t>
  </si>
  <si>
    <t>GASTOS DE FUNCIONAMIENTO DEL PROGRAMA DE ATENCIÓN INTEGRAL EN VIH/SIDA</t>
  </si>
  <si>
    <t>SUMINISTROS DE OFICINA</t>
  </si>
  <si>
    <t>VALOR TOTAL AÑO</t>
  </si>
  <si>
    <t>Resmas de papel membreteadas</t>
  </si>
  <si>
    <t>Lapiceros</t>
  </si>
  <si>
    <t>Portaminas</t>
  </si>
  <si>
    <t>Borradores</t>
  </si>
  <si>
    <t>Ganchos para cosedora</t>
  </si>
  <si>
    <t>clips</t>
  </si>
  <si>
    <t>Folders</t>
  </si>
  <si>
    <t>Ganchos de legajar</t>
  </si>
  <si>
    <t>TOTAL AÑO</t>
  </si>
  <si>
    <t>TOTAL MES</t>
  </si>
  <si>
    <t>o</t>
  </si>
  <si>
    <t xml:space="preserve">Precio de Venta </t>
  </si>
  <si>
    <t>Insumos unitarios</t>
  </si>
  <si>
    <t>* Mano De Obra Operativa</t>
  </si>
  <si>
    <t>Menos Impuestos (35%)</t>
  </si>
  <si>
    <t>inversion</t>
  </si>
  <si>
    <t>INDICADORES CORRESPONDIENTES  A DIFERENTES  NUMERO DE PACIENTES</t>
  </si>
  <si>
    <t>NUMERO PACIENTES</t>
  </si>
  <si>
    <t>INDICADORES CORRESPONDIENTES  A DIFERENTES  PRECIOS DEL PROGRAMA</t>
  </si>
  <si>
    <t>PRECIO PAQUETE($)</t>
  </si>
  <si>
    <t>El número de àcientes establecido inicialmente es de 189 personas, este valor, se puede reducir hasta  un número de pacientes de 137 personas y el proyecto continua siendo viable  en el financiamiento. En este punto es donde el proyecto no deja ganancias ni perdidas. Por debajo de este número de personas el proyecto deja de ser atractivo financieramente.</t>
  </si>
  <si>
    <t xml:space="preserve">El precio de venta establecido inicialmente para el programa es de $ 1,083,104 pesos, este valor, se puede reducir hasta  un precio aproximado de $ 1,063,500 pesos y el proyecto continua siendo viable  en el financiamiento. En este punto es donde el proyecto no deja ganancias ni perdidas. Si reducimos más el precio de venta del paquete el proyecto deja de ser atractivo financieramente. </t>
  </si>
  <si>
    <t>FUENTE: elaboración propia. Enero 2008</t>
  </si>
  <si>
    <t>INDICADORES DE LIQUIDEZ</t>
  </si>
  <si>
    <t>INDICADORES DE APROVECHAMIENTO DE RECURSOS</t>
  </si>
  <si>
    <t>INDICADORES DE ESTRUCTURA O ENDEUDAMIENTO</t>
  </si>
  <si>
    <t>PROGRAMA DE ATENCION INTEGRAL EN VIH/SIDA</t>
  </si>
  <si>
    <t>PROGRAMA DE ATENCIÓN INTEGRAL EN VIH/SIDA</t>
  </si>
  <si>
    <t>DIAGRAMA DE FLUJO</t>
  </si>
  <si>
    <t>Fuente: elaboración propia enero 2008</t>
  </si>
</sst>
</file>

<file path=xl/styles.xml><?xml version="1.0" encoding="utf-8"?>
<styleSheet xmlns="http://schemas.openxmlformats.org/spreadsheetml/2006/main">
  <numFmts count="14">
    <numFmt numFmtId="44" formatCode="_(&quot;$&quot;\ * #,##0.00_);_(&quot;$&quot;\ * \(#,##0.00\);_(&quot;$&quot;\ * &quot;-&quot;??_);_(@_)"/>
    <numFmt numFmtId="164" formatCode="#,##0\ &quot;€&quot;;\-#,##0\ &quot;€&quot;"/>
    <numFmt numFmtId="170" formatCode="_-* #,##0.00\ &quot;€&quot;_-;\-* #,##0.00\ &quot;€&quot;_-;_-* &quot;-&quot;??\ &quot;€&quot;_-;_-@_-"/>
    <numFmt numFmtId="171" formatCode="_-* #,##0.00\ _€_-;\-* #,##0.00\ _€_-;_-* &quot;-&quot;??\ _€_-;_-@_-"/>
    <numFmt numFmtId="178" formatCode="_ &quot;$&quot;\ * #,##0.00_ ;_ &quot;$&quot;\ * \-#,##0.00_ ;_ &quot;$&quot;\ * &quot;-&quot;??_ ;_ @_ "/>
    <numFmt numFmtId="179" formatCode="_ * #,##0.00_ ;_ * \-#,##0.00_ ;_ * &quot;-&quot;??_ ;_ @_ "/>
    <numFmt numFmtId="180" formatCode="#,##0.0"/>
    <numFmt numFmtId="181" formatCode="#,##0.000"/>
    <numFmt numFmtId="182" formatCode="#,##0.0000"/>
    <numFmt numFmtId="196" formatCode="0.0000"/>
    <numFmt numFmtId="198" formatCode="&quot;$&quot;\ #,##0.00"/>
    <numFmt numFmtId="201" formatCode="_-* #,##0\ _€_-;\-* #,##0\ _€_-;_-* &quot;-&quot;??\ _€_-;_-@_-"/>
    <numFmt numFmtId="214" formatCode="_(* #,##0_);_(* \(#,##0\);_(* &quot;-&quot;??_);_(@_)"/>
    <numFmt numFmtId="215" formatCode="_(&quot;$&quot;\ * #,##0_);_(&quot;$&quot;\ * \(#,##0\);_(&quot;$&quot;\ * &quot;-&quot;??_);_(@_)"/>
  </numFmts>
  <fonts count="32">
    <font>
      <sz val="10"/>
      <name val="Arial"/>
    </font>
    <font>
      <sz val="10"/>
      <name val="Arial"/>
    </font>
    <font>
      <b/>
      <sz val="12"/>
      <name val="Arial"/>
      <family val="2"/>
    </font>
    <font>
      <sz val="8"/>
      <name val="Arial"/>
      <family val="2"/>
    </font>
    <font>
      <sz val="10"/>
      <name val="Arial"/>
      <family val="2"/>
    </font>
    <font>
      <sz val="12"/>
      <name val="Arial"/>
      <family val="2"/>
    </font>
    <font>
      <sz val="12"/>
      <color indexed="10"/>
      <name val="Arial"/>
      <family val="2"/>
    </font>
    <font>
      <b/>
      <sz val="10"/>
      <name val="Arial"/>
      <family val="2"/>
    </font>
    <font>
      <b/>
      <sz val="11"/>
      <name val="Times New Roman"/>
      <family val="1"/>
    </font>
    <font>
      <sz val="11"/>
      <name val="Times New Roman"/>
      <family val="1"/>
    </font>
    <font>
      <b/>
      <sz val="11"/>
      <name val="Arial"/>
      <family val="2"/>
    </font>
    <font>
      <b/>
      <sz val="9"/>
      <color indexed="8"/>
      <name val="Arial"/>
      <family val="2"/>
    </font>
    <font>
      <b/>
      <sz val="12"/>
      <color indexed="8"/>
      <name val="Arial"/>
      <family val="2"/>
    </font>
    <font>
      <sz val="10"/>
      <color indexed="8"/>
      <name val="Arial"/>
      <family val="2"/>
    </font>
    <font>
      <b/>
      <sz val="10"/>
      <color indexed="8"/>
      <name val="Arial"/>
      <family val="2"/>
    </font>
    <font>
      <b/>
      <sz val="10"/>
      <color indexed="8"/>
      <name val="Verdana"/>
      <family val="2"/>
    </font>
    <font>
      <sz val="10"/>
      <color indexed="8"/>
      <name val="Verdana"/>
      <family val="2"/>
    </font>
    <font>
      <sz val="10"/>
      <name val="Verdana"/>
      <family val="2"/>
    </font>
    <font>
      <sz val="10"/>
      <name val="Arial"/>
      <family val="2"/>
    </font>
    <font>
      <sz val="11"/>
      <color theme="1"/>
      <name val="Calibri"/>
      <family val="2"/>
      <scheme val="minor"/>
    </font>
    <font>
      <b/>
      <sz val="11"/>
      <color theme="1"/>
      <name val="Calibri"/>
      <family val="2"/>
      <scheme val="minor"/>
    </font>
    <font>
      <b/>
      <sz val="10"/>
      <color theme="1"/>
      <name val="Verdana"/>
      <family val="2"/>
    </font>
    <font>
      <sz val="10"/>
      <color theme="1"/>
      <name val="Verdana"/>
      <family val="2"/>
    </font>
    <font>
      <b/>
      <sz val="9"/>
      <color theme="1"/>
      <name val="Verdana"/>
      <family val="2"/>
    </font>
    <font>
      <b/>
      <sz val="16"/>
      <color theme="1"/>
      <name val="Calibri"/>
      <family val="2"/>
      <scheme val="minor"/>
    </font>
    <font>
      <b/>
      <sz val="12"/>
      <color theme="1"/>
      <name val="Calibri"/>
      <family val="2"/>
      <scheme val="minor"/>
    </font>
    <font>
      <sz val="16"/>
      <color theme="1"/>
      <name val="Calibri"/>
      <family val="2"/>
      <scheme val="minor"/>
    </font>
    <font>
      <sz val="11"/>
      <name val="Calibri"/>
      <family val="2"/>
      <scheme val="minor"/>
    </font>
    <font>
      <b/>
      <sz val="14"/>
      <color theme="1"/>
      <name val="Calibri"/>
      <family val="2"/>
      <scheme val="minor"/>
    </font>
    <font>
      <b/>
      <sz val="11"/>
      <name val="Calibri"/>
      <family val="2"/>
      <scheme val="minor"/>
    </font>
    <font>
      <sz val="12"/>
      <color theme="0"/>
      <name val="Arial"/>
      <family val="2"/>
    </font>
    <font>
      <b/>
      <sz val="18"/>
      <color theme="1"/>
      <name val="Calibri"/>
      <family val="2"/>
      <scheme val="minor"/>
    </font>
  </fonts>
  <fills count="7">
    <fill>
      <patternFill patternType="none"/>
    </fill>
    <fill>
      <patternFill patternType="gray125"/>
    </fill>
    <fill>
      <patternFill patternType="solid">
        <fgColor indexed="4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right/>
      <top/>
      <bottom style="medium">
        <color indexed="64"/>
      </bottom>
      <diagonal/>
    </border>
    <border>
      <left/>
      <right/>
      <top style="thin">
        <color indexed="64"/>
      </top>
      <bottom/>
      <diagonal/>
    </border>
    <border>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s>
  <cellStyleXfs count="5">
    <xf numFmtId="0" fontId="0" fillId="0" borderId="0"/>
    <xf numFmtId="179" fontId="1" fillId="0" borderId="0" applyFont="0" applyFill="0" applyBorder="0" applyAlignment="0" applyProtection="0"/>
    <xf numFmtId="164" fontId="19" fillId="0" borderId="0" applyFont="0" applyFill="0" applyBorder="0" applyAlignment="0" applyProtection="0"/>
    <xf numFmtId="178" fontId="1" fillId="0" borderId="0" applyFont="0" applyFill="0" applyBorder="0" applyAlignment="0" applyProtection="0"/>
    <xf numFmtId="9" fontId="1" fillId="0" borderId="0" applyFont="0" applyFill="0" applyBorder="0" applyAlignment="0" applyProtection="0"/>
  </cellStyleXfs>
  <cellXfs count="382">
    <xf numFmtId="0" fontId="0" fillId="0" borderId="0" xfId="0"/>
    <xf numFmtId="0" fontId="5" fillId="0" borderId="1" xfId="0" applyFont="1" applyBorder="1"/>
    <xf numFmtId="0" fontId="2" fillId="0" borderId="1" xfId="0" applyFont="1" applyBorder="1"/>
    <xf numFmtId="9" fontId="5" fillId="0" borderId="1" xfId="0" applyNumberFormat="1" applyFont="1" applyBorder="1"/>
    <xf numFmtId="3" fontId="5" fillId="0" borderId="1" xfId="0" applyNumberFormat="1" applyFont="1" applyBorder="1"/>
    <xf numFmtId="0" fontId="5" fillId="0" borderId="1" xfId="0" quotePrefix="1" applyFont="1" applyBorder="1" applyAlignment="1">
      <alignment horizontal="left"/>
    </xf>
    <xf numFmtId="4" fontId="5" fillId="0" borderId="1" xfId="0" applyNumberFormat="1" applyFont="1" applyBorder="1"/>
    <xf numFmtId="2" fontId="5" fillId="0" borderId="1" xfId="0" applyNumberFormat="1" applyFont="1" applyBorder="1"/>
    <xf numFmtId="0" fontId="5" fillId="0" borderId="1" xfId="0" applyFont="1" applyBorder="1" applyAlignment="1">
      <alignment horizontal="left"/>
    </xf>
    <xf numFmtId="0" fontId="5" fillId="0" borderId="1" xfId="0" applyFont="1" applyBorder="1" applyAlignment="1">
      <alignment horizontal="center"/>
    </xf>
    <xf numFmtId="0" fontId="5" fillId="0" borderId="1" xfId="0" applyFont="1" applyBorder="1" applyAlignment="1"/>
    <xf numFmtId="0" fontId="2" fillId="0" borderId="1" xfId="0" applyFont="1" applyBorder="1" applyAlignment="1"/>
    <xf numFmtId="10" fontId="5" fillId="0" borderId="1" xfId="4" applyNumberFormat="1" applyFont="1" applyBorder="1"/>
    <xf numFmtId="0" fontId="2" fillId="0" borderId="1" xfId="0" applyFont="1" applyBorder="1" applyAlignment="1">
      <alignment horizontal="left"/>
    </xf>
    <xf numFmtId="3" fontId="2" fillId="0" borderId="1" xfId="0" applyNumberFormat="1" applyFont="1" applyBorder="1"/>
    <xf numFmtId="9" fontId="5" fillId="0" borderId="1" xfId="4" applyFont="1" applyBorder="1"/>
    <xf numFmtId="2" fontId="5" fillId="0" borderId="1" xfId="0" applyNumberFormat="1" applyFont="1" applyBorder="1" applyAlignment="1">
      <alignment horizontal="left"/>
    </xf>
    <xf numFmtId="10" fontId="5" fillId="0" borderId="1" xfId="0" applyNumberFormat="1" applyFont="1" applyBorder="1"/>
    <xf numFmtId="10" fontId="2" fillId="0" borderId="1" xfId="0" applyNumberFormat="1" applyFont="1" applyBorder="1"/>
    <xf numFmtId="0" fontId="5" fillId="2" borderId="1" xfId="0" applyFont="1" applyFill="1" applyBorder="1"/>
    <xf numFmtId="9" fontId="5" fillId="2" borderId="1" xfId="4" applyFont="1" applyFill="1" applyBorder="1"/>
    <xf numFmtId="3" fontId="5" fillId="2" borderId="1" xfId="0" applyNumberFormat="1" applyFont="1" applyFill="1" applyBorder="1"/>
    <xf numFmtId="2" fontId="5" fillId="0" borderId="1" xfId="0" applyNumberFormat="1" applyFont="1" applyBorder="1" applyAlignment="1">
      <alignment horizontal="center"/>
    </xf>
    <xf numFmtId="0" fontId="0" fillId="0" borderId="0" xfId="0" applyAlignment="1">
      <alignment horizontal="center"/>
    </xf>
    <xf numFmtId="3" fontId="0" fillId="0" borderId="0" xfId="0" applyNumberFormat="1"/>
    <xf numFmtId="4" fontId="0" fillId="0" borderId="0" xfId="0" applyNumberFormat="1"/>
    <xf numFmtId="0" fontId="5" fillId="0" borderId="0" xfId="0" applyFont="1" applyBorder="1"/>
    <xf numFmtId="0" fontId="5" fillId="0" borderId="0" xfId="0" applyFont="1" applyBorder="1" applyAlignment="1">
      <alignment horizontal="left"/>
    </xf>
    <xf numFmtId="3" fontId="5" fillId="0" borderId="0" xfId="0" applyNumberFormat="1" applyFont="1" applyBorder="1"/>
    <xf numFmtId="0" fontId="2" fillId="0" borderId="0" xfId="0" applyFont="1" applyBorder="1" applyAlignment="1"/>
    <xf numFmtId="0" fontId="2" fillId="0" borderId="0" xfId="0" applyFont="1" applyBorder="1"/>
    <xf numFmtId="3" fontId="5" fillId="0" borderId="1" xfId="0" applyNumberFormat="1" applyFont="1" applyBorder="1" applyAlignment="1">
      <alignment horizontal="center"/>
    </xf>
    <xf numFmtId="0" fontId="5" fillId="0" borderId="1" xfId="0" applyFont="1" applyFill="1" applyBorder="1"/>
    <xf numFmtId="0" fontId="2" fillId="0" borderId="1" xfId="0" applyFont="1" applyFill="1" applyBorder="1" applyAlignment="1">
      <alignment horizontal="center"/>
    </xf>
    <xf numFmtId="10" fontId="5" fillId="0" borderId="1" xfId="0" applyNumberFormat="1" applyFont="1" applyBorder="1" applyAlignment="1">
      <alignment horizontal="left"/>
    </xf>
    <xf numFmtId="3" fontId="5" fillId="0" borderId="1" xfId="1" applyNumberFormat="1" applyFont="1" applyBorder="1"/>
    <xf numFmtId="3" fontId="2" fillId="0" borderId="1" xfId="0" applyNumberFormat="1" applyFont="1" applyBorder="1" applyAlignment="1">
      <alignment horizontal="right"/>
    </xf>
    <xf numFmtId="9" fontId="5" fillId="0" borderId="1" xfId="0" applyNumberFormat="1" applyFont="1" applyFill="1" applyBorder="1"/>
    <xf numFmtId="3" fontId="5" fillId="0" borderId="1" xfId="0" applyNumberFormat="1" applyFont="1" applyFill="1" applyBorder="1"/>
    <xf numFmtId="0" fontId="2" fillId="0" borderId="1" xfId="0" applyFont="1" applyFill="1" applyBorder="1" applyAlignment="1"/>
    <xf numFmtId="198" fontId="5" fillId="0" borderId="1" xfId="0" applyNumberFormat="1" applyFont="1" applyBorder="1"/>
    <xf numFmtId="179" fontId="5" fillId="0" borderId="1" xfId="0" applyNumberFormat="1" applyFont="1" applyBorder="1"/>
    <xf numFmtId="0" fontId="5" fillId="0" borderId="1" xfId="0" applyFont="1" applyBorder="1" applyAlignment="1">
      <alignment horizontal="right"/>
    </xf>
    <xf numFmtId="2" fontId="2" fillId="0" borderId="1" xfId="0" applyNumberFormat="1" applyFont="1" applyBorder="1"/>
    <xf numFmtId="0" fontId="5" fillId="0" borderId="1" xfId="0" applyFont="1" applyBorder="1" applyAlignment="1">
      <alignment vertical="center" wrapText="1"/>
    </xf>
    <xf numFmtId="3" fontId="5" fillId="0" borderId="1" xfId="0" applyNumberFormat="1" applyFont="1" applyBorder="1" applyAlignment="1">
      <alignment horizontal="right"/>
    </xf>
    <xf numFmtId="180" fontId="5" fillId="0" borderId="1" xfId="0" applyNumberFormat="1" applyFont="1" applyBorder="1" applyAlignment="1">
      <alignment horizontal="right"/>
    </xf>
    <xf numFmtId="180" fontId="5" fillId="0" borderId="1" xfId="0" applyNumberFormat="1" applyFont="1" applyBorder="1" applyAlignment="1">
      <alignment horizontal="center"/>
    </xf>
    <xf numFmtId="3" fontId="5" fillId="0" borderId="1" xfId="1" applyNumberFormat="1" applyFont="1" applyBorder="1" applyAlignment="1">
      <alignment horizontal="center"/>
    </xf>
    <xf numFmtId="3" fontId="5" fillId="0" borderId="1" xfId="1" applyNumberFormat="1" applyFont="1" applyBorder="1" applyAlignment="1">
      <alignment horizontal="right"/>
    </xf>
    <xf numFmtId="10" fontId="5" fillId="0" borderId="1" xfId="1" applyNumberFormat="1" applyFont="1" applyBorder="1" applyAlignment="1"/>
    <xf numFmtId="171" fontId="5" fillId="0" borderId="1" xfId="1" applyNumberFormat="1" applyFont="1" applyBorder="1" applyAlignment="1">
      <alignment horizontal="left" vertical="top"/>
    </xf>
    <xf numFmtId="3" fontId="2" fillId="0" borderId="1" xfId="1" applyNumberFormat="1" applyFont="1" applyBorder="1" applyAlignment="1">
      <alignment horizontal="center"/>
    </xf>
    <xf numFmtId="3" fontId="2" fillId="0" borderId="1" xfId="1" applyNumberFormat="1" applyFont="1" applyBorder="1" applyAlignment="1">
      <alignment horizontal="right"/>
    </xf>
    <xf numFmtId="10" fontId="2" fillId="0" borderId="1" xfId="1" applyNumberFormat="1" applyFont="1" applyBorder="1" applyAlignment="1"/>
    <xf numFmtId="171" fontId="2" fillId="0" borderId="1" xfId="1" applyNumberFormat="1" applyFont="1" applyBorder="1" applyAlignment="1">
      <alignment horizontal="left" vertical="top"/>
    </xf>
    <xf numFmtId="170" fontId="6" fillId="0" borderId="1" xfId="3" applyNumberFormat="1" applyFont="1" applyBorder="1" applyAlignment="1">
      <alignment horizontal="center"/>
    </xf>
    <xf numFmtId="0" fontId="0" fillId="0" borderId="1" xfId="0" applyBorder="1" applyAlignment="1">
      <alignment horizontal="justify" vertical="justify" wrapText="1"/>
    </xf>
    <xf numFmtId="179" fontId="5" fillId="0" borderId="1" xfId="1" applyFont="1" applyBorder="1" applyAlignment="1">
      <alignment horizontal="right"/>
    </xf>
    <xf numFmtId="4" fontId="5" fillId="0" borderId="1" xfId="0" applyNumberFormat="1" applyFont="1" applyBorder="1" applyAlignment="1">
      <alignment horizontal="right"/>
    </xf>
    <xf numFmtId="0" fontId="5" fillId="0" borderId="2" xfId="0" applyFont="1" applyBorder="1"/>
    <xf numFmtId="3" fontId="2" fillId="0" borderId="2" xfId="0" applyNumberFormat="1" applyFont="1" applyBorder="1" applyAlignment="1">
      <alignment horizontal="right"/>
    </xf>
    <xf numFmtId="3" fontId="5" fillId="0" borderId="2" xfId="0" applyNumberFormat="1" applyFont="1" applyBorder="1"/>
    <xf numFmtId="0" fontId="7" fillId="0" borderId="1" xfId="0" applyFont="1" applyFill="1" applyBorder="1" applyAlignment="1"/>
    <xf numFmtId="0" fontId="5" fillId="0" borderId="2" xfId="0" applyFont="1" applyBorder="1" applyAlignment="1">
      <alignment horizontal="right"/>
    </xf>
    <xf numFmtId="0" fontId="2" fillId="0" borderId="2" xfId="0" applyFont="1" applyBorder="1" applyAlignment="1">
      <alignment horizontal="right"/>
    </xf>
    <xf numFmtId="3" fontId="2" fillId="0" borderId="2" xfId="0" applyNumberFormat="1" applyFont="1" applyBorder="1"/>
    <xf numFmtId="4" fontId="2" fillId="0" borderId="2" xfId="0" applyNumberFormat="1" applyFont="1" applyBorder="1" applyAlignment="1">
      <alignment horizontal="right"/>
    </xf>
    <xf numFmtId="0" fontId="2" fillId="0" borderId="1" xfId="0" applyFont="1" applyBorder="1" applyAlignment="1">
      <alignment horizontal="right"/>
    </xf>
    <xf numFmtId="3" fontId="5" fillId="0" borderId="1" xfId="0" applyNumberFormat="1" applyFont="1" applyBorder="1" applyAlignment="1">
      <alignment horizontal="left"/>
    </xf>
    <xf numFmtId="10" fontId="5" fillId="2" borderId="1" xfId="4" applyNumberFormat="1" applyFont="1" applyFill="1" applyBorder="1"/>
    <xf numFmtId="0" fontId="2" fillId="0" borderId="0" xfId="0" applyFont="1" applyBorder="1" applyAlignment="1">
      <alignment horizontal="center"/>
    </xf>
    <xf numFmtId="0" fontId="15" fillId="3" borderId="3" xfId="0" applyFont="1" applyFill="1" applyBorder="1" applyAlignment="1">
      <alignment horizontal="center" vertical="center" wrapText="1"/>
    </xf>
    <xf numFmtId="214" fontId="15" fillId="3" borderId="3" xfId="1" applyNumberFormat="1" applyFont="1" applyFill="1" applyBorder="1" applyAlignment="1">
      <alignment horizontal="center" vertical="center" wrapText="1"/>
    </xf>
    <xf numFmtId="215" fontId="15" fillId="3" borderId="1" xfId="3" applyNumberFormat="1" applyFont="1" applyFill="1" applyBorder="1" applyAlignment="1">
      <alignment horizontal="center" vertical="center" wrapText="1"/>
    </xf>
    <xf numFmtId="0" fontId="15" fillId="3" borderId="1" xfId="0" applyFont="1" applyFill="1" applyBorder="1" applyAlignment="1">
      <alignment horizontal="center" vertical="center" wrapText="1"/>
    </xf>
    <xf numFmtId="0" fontId="21" fillId="4" borderId="1" xfId="0" applyFont="1" applyFill="1" applyBorder="1" applyAlignment="1">
      <alignment horizontal="left" vertical="center" wrapText="1"/>
    </xf>
    <xf numFmtId="0" fontId="22" fillId="0" borderId="1" xfId="0" applyFont="1" applyBorder="1" applyAlignment="1">
      <alignment horizontal="center" vertical="center" wrapText="1"/>
    </xf>
    <xf numFmtId="214" fontId="22" fillId="0" borderId="1" xfId="1" applyNumberFormat="1" applyFont="1" applyBorder="1" applyAlignment="1">
      <alignment horizontal="center" vertical="center" wrapText="1"/>
    </xf>
    <xf numFmtId="215" fontId="16" fillId="4" borderId="4" xfId="3" applyNumberFormat="1" applyFont="1" applyFill="1" applyBorder="1" applyAlignment="1">
      <alignment horizontal="justify" vertical="center" wrapText="1"/>
    </xf>
    <xf numFmtId="215" fontId="16" fillId="0" borderId="1" xfId="0" applyNumberFormat="1" applyFont="1" applyBorder="1" applyAlignment="1">
      <alignment horizontal="justify" vertical="center" wrapText="1"/>
    </xf>
    <xf numFmtId="0" fontId="16" fillId="0" borderId="1" xfId="0" applyFont="1" applyBorder="1" applyAlignment="1">
      <alignment horizontal="left" vertical="center" wrapText="1"/>
    </xf>
    <xf numFmtId="0" fontId="16" fillId="0" borderId="1" xfId="0" applyFont="1" applyBorder="1" applyAlignment="1">
      <alignment horizontal="center" vertical="center" wrapText="1"/>
    </xf>
    <xf numFmtId="214" fontId="16" fillId="0" borderId="1" xfId="1" applyNumberFormat="1" applyFont="1" applyBorder="1" applyAlignment="1">
      <alignment horizontal="justify" vertical="center" wrapText="1"/>
    </xf>
    <xf numFmtId="215" fontId="16" fillId="4" borderId="1" xfId="3" applyNumberFormat="1" applyFont="1" applyFill="1" applyBorder="1" applyAlignment="1">
      <alignment horizontal="justify" vertical="center" wrapText="1"/>
    </xf>
    <xf numFmtId="0" fontId="16" fillId="0" borderId="1" xfId="0" applyFont="1" applyBorder="1" applyAlignment="1">
      <alignment horizontal="justify" vertical="center" wrapText="1"/>
    </xf>
    <xf numFmtId="0" fontId="22" fillId="0" borderId="1" xfId="0" applyFont="1" applyBorder="1" applyAlignment="1">
      <alignment horizontal="left" vertical="center" wrapText="1"/>
    </xf>
    <xf numFmtId="215" fontId="0" fillId="0" borderId="0" xfId="0" applyNumberFormat="1"/>
    <xf numFmtId="0" fontId="22" fillId="0" borderId="3" xfId="0" applyFont="1" applyBorder="1" applyAlignment="1">
      <alignment horizontal="left" vertical="center" wrapText="1"/>
    </xf>
    <xf numFmtId="0" fontId="22" fillId="0" borderId="3" xfId="0" applyFont="1" applyBorder="1" applyAlignment="1">
      <alignment horizontal="center" vertical="center" wrapText="1"/>
    </xf>
    <xf numFmtId="214" fontId="22" fillId="0" borderId="3" xfId="1" applyNumberFormat="1" applyFont="1" applyBorder="1" applyAlignment="1">
      <alignment horizontal="center" vertical="center" wrapText="1"/>
    </xf>
    <xf numFmtId="0" fontId="23" fillId="4" borderId="1" xfId="0" applyFont="1" applyFill="1" applyBorder="1" applyAlignment="1">
      <alignment horizontal="left" vertical="center" wrapText="1"/>
    </xf>
    <xf numFmtId="3" fontId="22" fillId="0" borderId="1" xfId="0" applyNumberFormat="1" applyFont="1" applyBorder="1" applyAlignment="1">
      <alignment horizontal="right" vertical="center" wrapText="1"/>
    </xf>
    <xf numFmtId="0" fontId="16" fillId="0" borderId="2" xfId="0" applyFont="1" applyBorder="1" applyAlignment="1">
      <alignment horizontal="left" vertical="center" wrapText="1"/>
    </xf>
    <xf numFmtId="0" fontId="16" fillId="0" borderId="2" xfId="0" applyFont="1" applyBorder="1" applyAlignment="1">
      <alignment horizontal="center" vertical="center" wrapText="1"/>
    </xf>
    <xf numFmtId="214" fontId="16" fillId="0" borderId="2" xfId="1" applyNumberFormat="1" applyFont="1" applyBorder="1" applyAlignment="1">
      <alignment horizontal="justify" vertical="center" wrapText="1"/>
    </xf>
    <xf numFmtId="0" fontId="15" fillId="3" borderId="1" xfId="0" applyFont="1" applyFill="1" applyBorder="1" applyAlignment="1">
      <alignment horizontal="left" vertical="center" wrapText="1"/>
    </xf>
    <xf numFmtId="214" fontId="15" fillId="3" borderId="1" xfId="1" applyNumberFormat="1" applyFont="1" applyFill="1" applyBorder="1" applyAlignment="1">
      <alignment horizontal="justify" vertical="center" wrapText="1"/>
    </xf>
    <xf numFmtId="215" fontId="15" fillId="3" borderId="1" xfId="3" applyNumberFormat="1" applyFont="1" applyFill="1" applyBorder="1" applyAlignment="1">
      <alignment horizontal="justify" vertical="center" wrapText="1"/>
    </xf>
    <xf numFmtId="215" fontId="15" fillId="3" borderId="1" xfId="0" applyNumberFormat="1" applyFont="1" applyFill="1" applyBorder="1" applyAlignment="1">
      <alignment horizontal="justify" vertical="center" wrapText="1"/>
    </xf>
    <xf numFmtId="214" fontId="22" fillId="0" borderId="1" xfId="1" applyNumberFormat="1" applyFont="1" applyBorder="1" applyAlignment="1">
      <alignment vertical="center" wrapText="1"/>
    </xf>
    <xf numFmtId="215" fontId="15" fillId="3" borderId="5" xfId="3" applyNumberFormat="1" applyFont="1" applyFill="1" applyBorder="1" applyAlignment="1">
      <alignment horizontal="justify" vertical="center" wrapText="1"/>
    </xf>
    <xf numFmtId="0" fontId="0" fillId="0" borderId="1" xfId="0" applyBorder="1"/>
    <xf numFmtId="214" fontId="0" fillId="0" borderId="1" xfId="1" applyNumberFormat="1" applyFont="1" applyBorder="1"/>
    <xf numFmtId="0" fontId="24" fillId="0" borderId="0" xfId="0" applyFont="1" applyAlignment="1">
      <alignment vertical="center"/>
    </xf>
    <xf numFmtId="0" fontId="24" fillId="3" borderId="6" xfId="0" applyFont="1" applyFill="1" applyBorder="1" applyAlignment="1">
      <alignment horizontal="center" vertical="center"/>
    </xf>
    <xf numFmtId="0" fontId="25" fillId="3" borderId="7" xfId="0" applyFont="1" applyFill="1" applyBorder="1" applyAlignment="1">
      <alignment horizontal="center" vertical="center" wrapText="1"/>
    </xf>
    <xf numFmtId="0" fontId="25" fillId="3" borderId="8" xfId="0" applyFont="1" applyFill="1" applyBorder="1" applyAlignment="1">
      <alignment horizontal="center" vertical="center" wrapText="1"/>
    </xf>
    <xf numFmtId="0" fontId="26" fillId="0" borderId="0" xfId="0" applyFont="1" applyAlignment="1">
      <alignment vertical="center"/>
    </xf>
    <xf numFmtId="201" fontId="26" fillId="0" borderId="0" xfId="2" applyNumberFormat="1" applyFont="1" applyAlignment="1">
      <alignment vertical="center"/>
    </xf>
    <xf numFmtId="0" fontId="25" fillId="0" borderId="9" xfId="0" applyFont="1" applyBorder="1" applyAlignment="1">
      <alignment vertical="center"/>
    </xf>
    <xf numFmtId="0" fontId="0" fillId="0" borderId="2" xfId="0" applyBorder="1" applyAlignment="1">
      <alignment vertical="center"/>
    </xf>
    <xf numFmtId="0" fontId="0" fillId="0" borderId="2" xfId="0" applyBorder="1" applyAlignment="1">
      <alignment horizontal="center" vertical="center"/>
    </xf>
    <xf numFmtId="3" fontId="0" fillId="0" borderId="2" xfId="0" applyNumberFormat="1" applyBorder="1" applyAlignment="1">
      <alignment vertical="center"/>
    </xf>
    <xf numFmtId="3" fontId="0" fillId="0" borderId="10" xfId="0" applyNumberFormat="1" applyBorder="1" applyAlignment="1">
      <alignment vertical="center"/>
    </xf>
    <xf numFmtId="0" fontId="20" fillId="3" borderId="6" xfId="0" applyFont="1" applyFill="1" applyBorder="1" applyAlignment="1">
      <alignment horizontal="center" vertical="center"/>
    </xf>
    <xf numFmtId="201" fontId="20" fillId="3" borderId="7" xfId="2" applyNumberFormat="1" applyFont="1" applyFill="1" applyBorder="1" applyAlignment="1">
      <alignment vertical="center"/>
    </xf>
    <xf numFmtId="0" fontId="20" fillId="3" borderId="7" xfId="0" applyFont="1" applyFill="1" applyBorder="1" applyAlignment="1">
      <alignment vertical="center"/>
    </xf>
    <xf numFmtId="0" fontId="20" fillId="3" borderId="8" xfId="0" applyFont="1" applyFill="1" applyBorder="1" applyAlignment="1">
      <alignment vertical="center"/>
    </xf>
    <xf numFmtId="0" fontId="0" fillId="0" borderId="11" xfId="0" applyBorder="1" applyAlignment="1">
      <alignment vertical="center"/>
    </xf>
    <xf numFmtId="3" fontId="0" fillId="0" borderId="1" xfId="0" applyNumberFormat="1" applyBorder="1" applyAlignment="1">
      <alignment vertical="center"/>
    </xf>
    <xf numFmtId="0" fontId="0" fillId="0" borderId="1" xfId="0" applyBorder="1" applyAlignment="1">
      <alignment horizontal="center" vertical="center"/>
    </xf>
    <xf numFmtId="3" fontId="0" fillId="0" borderId="12" xfId="0" applyNumberFormat="1" applyBorder="1" applyAlignment="1">
      <alignment vertical="center"/>
    </xf>
    <xf numFmtId="3" fontId="0" fillId="4" borderId="13" xfId="0" applyNumberFormat="1" applyFont="1" applyFill="1" applyBorder="1" applyAlignment="1">
      <alignment vertical="center"/>
    </xf>
    <xf numFmtId="201" fontId="18" fillId="4" borderId="2" xfId="2" applyNumberFormat="1" applyFont="1" applyFill="1" applyBorder="1" applyAlignment="1">
      <alignment vertical="center"/>
    </xf>
    <xf numFmtId="0" fontId="0" fillId="4" borderId="2" xfId="0" applyFill="1" applyBorder="1" applyAlignment="1">
      <alignment horizontal="center" vertical="center"/>
    </xf>
    <xf numFmtId="201" fontId="0" fillId="4" borderId="2" xfId="0" applyNumberFormat="1" applyFill="1" applyBorder="1" applyAlignment="1">
      <alignment vertical="center"/>
    </xf>
    <xf numFmtId="3" fontId="0" fillId="4" borderId="4" xfId="0" applyNumberFormat="1" applyFont="1" applyFill="1" applyBorder="1" applyAlignment="1">
      <alignment vertical="center"/>
    </xf>
    <xf numFmtId="201" fontId="18" fillId="4" borderId="1" xfId="2" applyNumberFormat="1" applyFont="1" applyFill="1" applyBorder="1" applyAlignment="1">
      <alignment vertical="center"/>
    </xf>
    <xf numFmtId="0" fontId="0" fillId="4" borderId="1" xfId="0" applyFill="1" applyBorder="1" applyAlignment="1">
      <alignment horizontal="center" vertical="center"/>
    </xf>
    <xf numFmtId="201" fontId="0" fillId="4" borderId="1" xfId="0" applyNumberFormat="1" applyFill="1" applyBorder="1" applyAlignment="1">
      <alignment vertical="center"/>
    </xf>
    <xf numFmtId="0" fontId="0" fillId="0" borderId="0" xfId="0" applyAlignment="1">
      <alignment horizontal="center" vertical="center"/>
    </xf>
    <xf numFmtId="0" fontId="20" fillId="0" borderId="11" xfId="0" applyFont="1" applyBorder="1" applyAlignment="1">
      <alignment vertical="center"/>
    </xf>
    <xf numFmtId="0" fontId="0" fillId="0" borderId="14" xfId="0" applyBorder="1" applyAlignment="1">
      <alignment vertical="center"/>
    </xf>
    <xf numFmtId="3" fontId="0" fillId="0" borderId="3" xfId="0" applyNumberFormat="1" applyBorder="1" applyAlignment="1">
      <alignment vertical="center"/>
    </xf>
    <xf numFmtId="0" fontId="0" fillId="0" borderId="3" xfId="0" applyBorder="1" applyAlignment="1">
      <alignment horizontal="center" vertical="center"/>
    </xf>
    <xf numFmtId="3" fontId="0" fillId="0" borderId="15" xfId="0" applyNumberFormat="1" applyBorder="1" applyAlignment="1">
      <alignment vertical="center"/>
    </xf>
    <xf numFmtId="0" fontId="20" fillId="3" borderId="6" xfId="0" applyFont="1" applyFill="1" applyBorder="1" applyAlignment="1">
      <alignment vertical="center"/>
    </xf>
    <xf numFmtId="3" fontId="20" fillId="3" borderId="7" xfId="0" applyNumberFormat="1" applyFont="1" applyFill="1" applyBorder="1" applyAlignment="1">
      <alignment vertical="center"/>
    </xf>
    <xf numFmtId="0" fontId="20" fillId="3" borderId="7" xfId="0" applyFont="1" applyFill="1" applyBorder="1" applyAlignment="1">
      <alignment horizontal="center" vertical="center"/>
    </xf>
    <xf numFmtId="3" fontId="20" fillId="3" borderId="8" xfId="0" applyNumberFormat="1" applyFont="1" applyFill="1" applyBorder="1" applyAlignment="1">
      <alignment vertical="center"/>
    </xf>
    <xf numFmtId="0" fontId="27" fillId="4" borderId="9" xfId="0" applyFont="1" applyFill="1" applyBorder="1"/>
    <xf numFmtId="3" fontId="0" fillId="4" borderId="10" xfId="0" applyNumberFormat="1" applyFont="1" applyFill="1" applyBorder="1" applyAlignment="1">
      <alignment vertical="center"/>
    </xf>
    <xf numFmtId="0" fontId="20" fillId="0" borderId="9" xfId="0" applyFont="1" applyBorder="1" applyAlignment="1">
      <alignment vertical="center"/>
    </xf>
    <xf numFmtId="3" fontId="20" fillId="0" borderId="2" xfId="0" applyNumberFormat="1" applyFont="1" applyBorder="1" applyAlignment="1">
      <alignment vertical="center"/>
    </xf>
    <xf numFmtId="0" fontId="20" fillId="0" borderId="2" xfId="0" applyFont="1" applyBorder="1" applyAlignment="1">
      <alignment horizontal="center" vertical="center"/>
    </xf>
    <xf numFmtId="3" fontId="20" fillId="0" borderId="10" xfId="0" applyNumberFormat="1" applyFont="1" applyBorder="1" applyAlignment="1">
      <alignment vertical="center"/>
    </xf>
    <xf numFmtId="0" fontId="27" fillId="4" borderId="11" xfId="0" applyFont="1" applyFill="1" applyBorder="1"/>
    <xf numFmtId="3" fontId="0" fillId="4" borderId="12" xfId="0" applyNumberFormat="1" applyFont="1" applyFill="1" applyBorder="1" applyAlignment="1">
      <alignment vertical="center"/>
    </xf>
    <xf numFmtId="3" fontId="20" fillId="0" borderId="1" xfId="0" applyNumberFormat="1" applyFont="1" applyBorder="1" applyAlignment="1">
      <alignment vertical="center"/>
    </xf>
    <xf numFmtId="0" fontId="20" fillId="0" borderId="1" xfId="0" applyFont="1" applyBorder="1" applyAlignment="1">
      <alignment horizontal="center" vertical="center"/>
    </xf>
    <xf numFmtId="3" fontId="20" fillId="0" borderId="12" xfId="0" applyNumberFormat="1" applyFont="1" applyBorder="1" applyAlignment="1">
      <alignment vertical="center"/>
    </xf>
    <xf numFmtId="0" fontId="0" fillId="0" borderId="1" xfId="0" applyBorder="1" applyAlignment="1">
      <alignment vertical="center"/>
    </xf>
    <xf numFmtId="0" fontId="27" fillId="4" borderId="16" xfId="0" applyFont="1" applyFill="1" applyBorder="1"/>
    <xf numFmtId="3" fontId="0" fillId="4" borderId="17" xfId="0" applyNumberFormat="1" applyFont="1" applyFill="1" applyBorder="1" applyAlignment="1">
      <alignment vertical="center"/>
    </xf>
    <xf numFmtId="0" fontId="25" fillId="0" borderId="11" xfId="0" applyFont="1" applyBorder="1" applyAlignment="1">
      <alignment vertical="center"/>
    </xf>
    <xf numFmtId="3" fontId="0" fillId="0" borderId="1" xfId="0" applyNumberFormat="1" applyBorder="1" applyAlignment="1">
      <alignment horizontal="center" vertical="center"/>
    </xf>
    <xf numFmtId="0" fontId="17" fillId="0" borderId="11" xfId="0" applyFont="1" applyBorder="1" applyAlignment="1">
      <alignment horizontal="left" vertical="center" wrapText="1"/>
    </xf>
    <xf numFmtId="214" fontId="17" fillId="0" borderId="1" xfId="1" applyNumberFormat="1" applyFont="1" applyBorder="1" applyAlignment="1">
      <alignment horizontal="center" vertical="center" wrapText="1"/>
    </xf>
    <xf numFmtId="0" fontId="17" fillId="0" borderId="1" xfId="0" applyFont="1" applyBorder="1" applyAlignment="1">
      <alignment horizontal="center" vertical="center" wrapText="1"/>
    </xf>
    <xf numFmtId="215" fontId="17" fillId="5" borderId="1" xfId="3" applyNumberFormat="1" applyFont="1" applyFill="1" applyBorder="1" applyAlignment="1">
      <alignment horizontal="justify" vertical="center" wrapText="1"/>
    </xf>
    <xf numFmtId="3" fontId="27" fillId="0" borderId="12" xfId="0" applyNumberFormat="1" applyFont="1" applyBorder="1" applyAlignment="1">
      <alignment vertical="center"/>
    </xf>
    <xf numFmtId="0" fontId="17" fillId="0" borderId="14" xfId="0" applyFont="1" applyBorder="1" applyAlignment="1">
      <alignment horizontal="left" vertical="center" wrapText="1"/>
    </xf>
    <xf numFmtId="214" fontId="17" fillId="0" borderId="3" xfId="1" applyNumberFormat="1" applyFont="1" applyBorder="1" applyAlignment="1">
      <alignment horizontal="center" vertical="center" wrapText="1"/>
    </xf>
    <xf numFmtId="0" fontId="17" fillId="0" borderId="3" xfId="0" applyFont="1" applyBorder="1" applyAlignment="1">
      <alignment horizontal="center" vertical="center" wrapText="1"/>
    </xf>
    <xf numFmtId="215" fontId="17" fillId="5" borderId="3" xfId="3" applyNumberFormat="1" applyFont="1" applyFill="1" applyBorder="1" applyAlignment="1">
      <alignment horizontal="justify" vertical="center" wrapText="1"/>
    </xf>
    <xf numFmtId="3" fontId="27" fillId="0" borderId="15" xfId="0" applyNumberFormat="1" applyFont="1" applyBorder="1" applyAlignment="1">
      <alignment vertical="center"/>
    </xf>
    <xf numFmtId="0" fontId="0" fillId="0" borderId="18" xfId="0" applyBorder="1" applyAlignment="1">
      <alignment vertical="center"/>
    </xf>
    <xf numFmtId="3" fontId="0" fillId="0" borderId="19" xfId="0" applyNumberFormat="1" applyBorder="1" applyAlignment="1">
      <alignment vertical="center"/>
    </xf>
    <xf numFmtId="0" fontId="0" fillId="0" borderId="19" xfId="0" applyBorder="1" applyAlignment="1">
      <alignment horizontal="center" vertical="center"/>
    </xf>
    <xf numFmtId="3" fontId="0" fillId="0" borderId="20" xfId="0" applyNumberFormat="1" applyBorder="1" applyAlignment="1">
      <alignment vertical="center"/>
    </xf>
    <xf numFmtId="0" fontId="28" fillId="3" borderId="6" xfId="0" applyFont="1" applyFill="1" applyBorder="1" applyAlignment="1">
      <alignment vertical="center"/>
    </xf>
    <xf numFmtId="3" fontId="0" fillId="3" borderId="7" xfId="0" applyNumberFormat="1" applyFill="1" applyBorder="1" applyAlignment="1">
      <alignment vertical="center"/>
    </xf>
    <xf numFmtId="171" fontId="0" fillId="0" borderId="0" xfId="2" applyNumberFormat="1" applyFont="1" applyAlignment="1">
      <alignment vertical="center"/>
    </xf>
    <xf numFmtId="201" fontId="0" fillId="0" borderId="0" xfId="0" applyNumberFormat="1" applyAlignment="1">
      <alignment vertical="center"/>
    </xf>
    <xf numFmtId="3" fontId="0" fillId="0" borderId="0" xfId="0" applyNumberFormat="1" applyBorder="1" applyAlignment="1">
      <alignment vertical="center"/>
    </xf>
    <xf numFmtId="0" fontId="0" fillId="0" borderId="0" xfId="0" applyBorder="1" applyAlignment="1">
      <alignment horizontal="center" vertical="center"/>
    </xf>
    <xf numFmtId="3" fontId="0" fillId="0" borderId="0" xfId="0" applyNumberFormat="1" applyAlignment="1">
      <alignment vertical="center"/>
    </xf>
    <xf numFmtId="0" fontId="0" fillId="0" borderId="0" xfId="0" applyBorder="1" applyAlignment="1">
      <alignment vertical="center"/>
    </xf>
    <xf numFmtId="3" fontId="20" fillId="3" borderId="21" xfId="0" applyNumberFormat="1" applyFont="1" applyFill="1" applyBorder="1" applyAlignment="1">
      <alignment horizontal="center" vertical="center"/>
    </xf>
    <xf numFmtId="0" fontId="20" fillId="3" borderId="22" xfId="0" applyFont="1" applyFill="1" applyBorder="1" applyAlignment="1">
      <alignment horizontal="center" vertical="center"/>
    </xf>
    <xf numFmtId="0" fontId="0" fillId="0" borderId="23" xfId="0" applyBorder="1" applyAlignment="1">
      <alignment vertical="center"/>
    </xf>
    <xf numFmtId="3" fontId="0" fillId="0" borderId="24" xfId="0" applyNumberFormat="1" applyBorder="1" applyAlignment="1">
      <alignment vertical="center"/>
    </xf>
    <xf numFmtId="201" fontId="0" fillId="0" borderId="25" xfId="2" applyNumberFormat="1" applyFont="1" applyBorder="1" applyAlignment="1">
      <alignment horizontal="center" vertical="center"/>
    </xf>
    <xf numFmtId="0" fontId="0" fillId="0" borderId="16" xfId="0" applyBorder="1" applyAlignment="1">
      <alignment vertical="center"/>
    </xf>
    <xf numFmtId="3" fontId="0" fillId="0" borderId="26" xfId="0" applyNumberFormat="1" applyBorder="1" applyAlignment="1">
      <alignment vertical="center"/>
    </xf>
    <xf numFmtId="201" fontId="0" fillId="0" borderId="17" xfId="2" applyNumberFormat="1" applyFont="1" applyBorder="1" applyAlignment="1">
      <alignment horizontal="center" vertical="center"/>
    </xf>
    <xf numFmtId="0" fontId="0" fillId="4" borderId="23" xfId="0" applyFill="1" applyBorder="1"/>
    <xf numFmtId="214" fontId="18" fillId="4" borderId="25" xfId="1" applyNumberFormat="1" applyFont="1" applyFill="1" applyBorder="1"/>
    <xf numFmtId="0" fontId="0" fillId="4" borderId="11" xfId="0" applyFill="1" applyBorder="1"/>
    <xf numFmtId="214" fontId="18" fillId="4" borderId="12" xfId="1" applyNumberFormat="1" applyFont="1" applyFill="1" applyBorder="1"/>
    <xf numFmtId="0" fontId="25" fillId="3" borderId="16" xfId="0" applyFont="1" applyFill="1" applyBorder="1"/>
    <xf numFmtId="214" fontId="25" fillId="3" borderId="17" xfId="1" applyNumberFormat="1" applyFont="1" applyFill="1" applyBorder="1"/>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214" fontId="11" fillId="3" borderId="1" xfId="1" applyNumberFormat="1" applyFont="1" applyFill="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center" vertical="center" wrapText="1"/>
    </xf>
    <xf numFmtId="0" fontId="13" fillId="0" borderId="5" xfId="0" applyFont="1" applyBorder="1" applyAlignment="1">
      <alignment horizontal="center" vertical="center" wrapText="1"/>
    </xf>
    <xf numFmtId="214" fontId="13" fillId="0" borderId="1" xfId="1" applyNumberFormat="1" applyFont="1" applyBorder="1" applyAlignment="1">
      <alignment vertical="center" wrapText="1"/>
    </xf>
    <xf numFmtId="214" fontId="13" fillId="4" borderId="1" xfId="1" applyNumberFormat="1" applyFont="1" applyFill="1" applyBorder="1" applyAlignment="1">
      <alignment vertical="center" wrapText="1"/>
    </xf>
    <xf numFmtId="214" fontId="12" fillId="3" borderId="1" xfId="1" applyNumberFormat="1" applyFont="1" applyFill="1" applyBorder="1" applyAlignment="1">
      <alignment vertical="center" wrapText="1"/>
    </xf>
    <xf numFmtId="0" fontId="14" fillId="0" borderId="0" xfId="0" applyFont="1" applyAlignment="1">
      <alignment vertical="center" wrapText="1"/>
    </xf>
    <xf numFmtId="0" fontId="13" fillId="0" borderId="0" xfId="0" applyFont="1" applyAlignment="1">
      <alignment horizontal="justify" vertical="center" wrapText="1"/>
    </xf>
    <xf numFmtId="44" fontId="13" fillId="0" borderId="0" xfId="3" applyNumberFormat="1" applyFont="1" applyAlignment="1">
      <alignment horizontal="justify" vertical="center" wrapText="1"/>
    </xf>
    <xf numFmtId="44" fontId="14" fillId="3" borderId="1" xfId="3" applyNumberFormat="1" applyFont="1" applyFill="1" applyBorder="1" applyAlignment="1">
      <alignment horizontal="center" vertical="center" wrapText="1"/>
    </xf>
    <xf numFmtId="44" fontId="13" fillId="0" borderId="1" xfId="3" applyNumberFormat="1" applyFont="1" applyBorder="1" applyAlignment="1">
      <alignment horizontal="justify" vertical="center" wrapText="1"/>
    </xf>
    <xf numFmtId="44" fontId="13" fillId="4" borderId="1" xfId="3" applyNumberFormat="1" applyFont="1" applyFill="1" applyBorder="1" applyAlignment="1">
      <alignment horizontal="justify" vertical="center" wrapText="1"/>
    </xf>
    <xf numFmtId="215" fontId="13" fillId="0" borderId="1" xfId="3" applyNumberFormat="1" applyFont="1" applyBorder="1" applyAlignment="1">
      <alignment horizontal="justify" vertical="center" wrapText="1"/>
    </xf>
    <xf numFmtId="215" fontId="13" fillId="4" borderId="1" xfId="3" applyNumberFormat="1" applyFont="1" applyFill="1" applyBorder="1" applyAlignment="1">
      <alignment horizontal="justify" vertical="center" wrapText="1"/>
    </xf>
    <xf numFmtId="214" fontId="0" fillId="0" borderId="0" xfId="0" applyNumberFormat="1"/>
    <xf numFmtId="0" fontId="13" fillId="0" borderId="1" xfId="0" applyFont="1" applyBorder="1" applyAlignment="1">
      <alignment horizontal="right" vertical="center" wrapText="1"/>
    </xf>
    <xf numFmtId="215" fontId="13" fillId="0" borderId="1" xfId="3" applyNumberFormat="1" applyFont="1" applyBorder="1" applyAlignment="1">
      <alignment horizontal="right" vertical="center" wrapText="1"/>
    </xf>
    <xf numFmtId="0" fontId="13" fillId="0" borderId="5" xfId="0" applyFont="1" applyBorder="1" applyAlignment="1">
      <alignment horizontal="right" vertical="center" wrapText="1"/>
    </xf>
    <xf numFmtId="215" fontId="13" fillId="0" borderId="4" xfId="3" applyNumberFormat="1" applyFont="1" applyBorder="1" applyAlignment="1">
      <alignment horizontal="right" vertical="center" wrapText="1"/>
    </xf>
    <xf numFmtId="215" fontId="12" fillId="3" borderId="1" xfId="3" applyNumberFormat="1" applyFont="1" applyFill="1" applyBorder="1" applyAlignment="1">
      <alignment horizontal="justify" vertical="center" wrapText="1"/>
    </xf>
    <xf numFmtId="44" fontId="0" fillId="0" borderId="0" xfId="0" applyNumberFormat="1"/>
    <xf numFmtId="0" fontId="20" fillId="3" borderId="6" xfId="0" applyFont="1" applyFill="1" applyBorder="1" applyAlignment="1">
      <alignment horizontal="center"/>
    </xf>
    <xf numFmtId="0" fontId="20" fillId="3" borderId="7" xfId="0" applyFont="1" applyFill="1" applyBorder="1" applyAlignment="1">
      <alignment horizontal="center"/>
    </xf>
    <xf numFmtId="0" fontId="20" fillId="3" borderId="8" xfId="0" applyFont="1" applyFill="1" applyBorder="1" applyAlignment="1">
      <alignment horizontal="center"/>
    </xf>
    <xf numFmtId="0" fontId="0" fillId="0" borderId="9" xfId="0" applyBorder="1"/>
    <xf numFmtId="0" fontId="0" fillId="0" borderId="2" xfId="0" applyBorder="1" applyAlignment="1">
      <alignment horizontal="center"/>
    </xf>
    <xf numFmtId="3" fontId="0" fillId="0" borderId="2" xfId="0" applyNumberFormat="1" applyBorder="1"/>
    <xf numFmtId="3" fontId="0" fillId="4" borderId="10" xfId="0" applyNumberFormat="1" applyFill="1" applyBorder="1"/>
    <xf numFmtId="0" fontId="0" fillId="0" borderId="11" xfId="0" applyBorder="1"/>
    <xf numFmtId="0" fontId="0" fillId="0" borderId="1" xfId="0" applyBorder="1" applyAlignment="1">
      <alignment horizontal="center"/>
    </xf>
    <xf numFmtId="3" fontId="0" fillId="0" borderId="1" xfId="0" applyNumberFormat="1" applyBorder="1"/>
    <xf numFmtId="0" fontId="0" fillId="0" borderId="14" xfId="0" applyBorder="1"/>
    <xf numFmtId="0" fontId="0" fillId="0" borderId="3" xfId="0" applyBorder="1" applyAlignment="1">
      <alignment horizontal="center"/>
    </xf>
    <xf numFmtId="3" fontId="0" fillId="0" borderId="3" xfId="0" applyNumberFormat="1" applyBorder="1"/>
    <xf numFmtId="3" fontId="27" fillId="0" borderId="3" xfId="0" applyNumberFormat="1" applyFont="1" applyBorder="1"/>
    <xf numFmtId="3" fontId="27" fillId="4" borderId="10" xfId="0" applyNumberFormat="1" applyFont="1" applyFill="1" applyBorder="1"/>
    <xf numFmtId="3" fontId="20" fillId="3" borderId="27" xfId="0" applyNumberFormat="1" applyFont="1" applyFill="1" applyBorder="1" applyAlignment="1"/>
    <xf numFmtId="3" fontId="20" fillId="3" borderId="28" xfId="0" applyNumberFormat="1" applyFont="1" applyFill="1" applyBorder="1"/>
    <xf numFmtId="0" fontId="29" fillId="3" borderId="29" xfId="0" applyFont="1" applyFill="1" applyBorder="1"/>
    <xf numFmtId="0" fontId="29" fillId="3" borderId="30" xfId="0" applyFont="1" applyFill="1" applyBorder="1"/>
    <xf numFmtId="214" fontId="29" fillId="3" borderId="28" xfId="1" applyNumberFormat="1" applyFont="1" applyFill="1" applyBorder="1"/>
    <xf numFmtId="182" fontId="5" fillId="0" borderId="1" xfId="0" applyNumberFormat="1" applyFont="1" applyBorder="1"/>
    <xf numFmtId="201" fontId="0" fillId="0" borderId="0" xfId="0" applyNumberFormat="1"/>
    <xf numFmtId="3" fontId="0" fillId="0" borderId="5" xfId="0" applyNumberFormat="1" applyBorder="1" applyAlignment="1">
      <alignment vertical="center"/>
    </xf>
    <xf numFmtId="3" fontId="0" fillId="4" borderId="31" xfId="0" applyNumberFormat="1" applyFont="1" applyFill="1" applyBorder="1" applyAlignment="1">
      <alignment vertical="center"/>
    </xf>
    <xf numFmtId="201" fontId="18" fillId="4" borderId="3" xfId="2" applyNumberFormat="1" applyFont="1" applyFill="1" applyBorder="1" applyAlignment="1">
      <alignment vertical="center"/>
    </xf>
    <xf numFmtId="3" fontId="10" fillId="3" borderId="6" xfId="0" applyNumberFormat="1" applyFont="1" applyFill="1" applyBorder="1"/>
    <xf numFmtId="201" fontId="10" fillId="3" borderId="8" xfId="0" applyNumberFormat="1" applyFont="1" applyFill="1" applyBorder="1"/>
    <xf numFmtId="3" fontId="5" fillId="6" borderId="1" xfId="0" applyNumberFormat="1" applyFont="1" applyFill="1" applyBorder="1"/>
    <xf numFmtId="10" fontId="0" fillId="0" borderId="0" xfId="0" applyNumberFormat="1"/>
    <xf numFmtId="3" fontId="4" fillId="0" borderId="1" xfId="0" applyNumberFormat="1" applyFont="1" applyBorder="1" applyAlignment="1">
      <alignment horizontal="center"/>
    </xf>
    <xf numFmtId="196" fontId="5" fillId="0" borderId="1" xfId="0" applyNumberFormat="1" applyFont="1" applyBorder="1"/>
    <xf numFmtId="1" fontId="0" fillId="4" borderId="2" xfId="0" applyNumberFormat="1" applyFill="1" applyBorder="1" applyAlignment="1">
      <alignment horizontal="center" vertical="center"/>
    </xf>
    <xf numFmtId="0" fontId="2" fillId="0" borderId="0" xfId="0" applyFont="1" applyBorder="1" applyAlignment="1">
      <alignment horizontal="centerContinuous"/>
    </xf>
    <xf numFmtId="9" fontId="5" fillId="0" borderId="0" xfId="0" applyNumberFormat="1" applyFont="1" applyBorder="1"/>
    <xf numFmtId="4" fontId="5" fillId="0" borderId="0" xfId="0" applyNumberFormat="1" applyFont="1" applyBorder="1"/>
    <xf numFmtId="0" fontId="5" fillId="0" borderId="0" xfId="0" quotePrefix="1" applyFont="1" applyBorder="1" applyAlignment="1">
      <alignment horizontal="left"/>
    </xf>
    <xf numFmtId="180" fontId="5" fillId="0" borderId="0" xfId="0" applyNumberFormat="1" applyFont="1" applyBorder="1"/>
    <xf numFmtId="2" fontId="5" fillId="0" borderId="0" xfId="0" applyNumberFormat="1" applyFont="1" applyBorder="1"/>
    <xf numFmtId="0" fontId="5" fillId="0" borderId="0" xfId="0" quotePrefix="1" applyFont="1" applyFill="1" applyBorder="1" applyAlignment="1">
      <alignment horizontal="left"/>
    </xf>
    <xf numFmtId="0" fontId="5" fillId="0" borderId="0" xfId="0" applyFont="1" applyBorder="1" applyAlignment="1">
      <alignment horizontal="left" indent="1"/>
    </xf>
    <xf numFmtId="0" fontId="5" fillId="0" borderId="0" xfId="0" quotePrefix="1" applyFont="1" applyBorder="1" applyAlignment="1">
      <alignment horizontal="left" indent="1"/>
    </xf>
    <xf numFmtId="0" fontId="5" fillId="0" borderId="0" xfId="0" applyFont="1" applyBorder="1" applyAlignment="1"/>
    <xf numFmtId="0" fontId="2" fillId="0" borderId="0" xfId="0" quotePrefix="1" applyFont="1" applyBorder="1" applyAlignment="1">
      <alignment horizontal="left"/>
    </xf>
    <xf numFmtId="0" fontId="5" fillId="0" borderId="0" xfId="0" quotePrefix="1" applyFont="1" applyBorder="1" applyAlignment="1">
      <alignment horizontal="left" vertical="top"/>
    </xf>
    <xf numFmtId="0" fontId="5" fillId="0" borderId="0" xfId="0" applyFont="1" applyBorder="1" applyAlignment="1">
      <alignment vertical="top"/>
    </xf>
    <xf numFmtId="0" fontId="5" fillId="0" borderId="0" xfId="0" quotePrefix="1" applyFont="1" applyBorder="1" applyAlignment="1">
      <alignment vertical="top"/>
    </xf>
    <xf numFmtId="10" fontId="5" fillId="0" borderId="0" xfId="4" applyNumberFormat="1" applyFont="1" applyBorder="1"/>
    <xf numFmtId="181" fontId="5" fillId="0" borderId="0" xfId="0" applyNumberFormat="1" applyFont="1" applyBorder="1"/>
    <xf numFmtId="4" fontId="5" fillId="0" borderId="0" xfId="0" quotePrefix="1" applyNumberFormat="1" applyFont="1" applyBorder="1" applyAlignment="1">
      <alignment horizontal="left"/>
    </xf>
    <xf numFmtId="3" fontId="2" fillId="0" borderId="0" xfId="0" applyNumberFormat="1" applyFont="1" applyBorder="1"/>
    <xf numFmtId="0" fontId="2" fillId="0" borderId="32" xfId="0" applyFont="1" applyBorder="1" applyAlignment="1">
      <alignment horizontal="centerContinuous"/>
    </xf>
    <xf numFmtId="0" fontId="2" fillId="0" borderId="32" xfId="0" applyFont="1" applyBorder="1" applyAlignment="1">
      <alignment horizontal="center"/>
    </xf>
    <xf numFmtId="0" fontId="5" fillId="0" borderId="33" xfId="0" applyFont="1" applyBorder="1"/>
    <xf numFmtId="0" fontId="2" fillId="0" borderId="34" xfId="0" applyFont="1" applyBorder="1" applyAlignment="1">
      <alignment horizontal="centerContinuous"/>
    </xf>
    <xf numFmtId="0" fontId="5" fillId="0" borderId="35" xfId="0" applyFont="1" applyBorder="1"/>
    <xf numFmtId="0" fontId="2" fillId="0" borderId="35" xfId="0" applyFont="1" applyBorder="1" applyAlignment="1">
      <alignment horizontal="center"/>
    </xf>
    <xf numFmtId="0" fontId="5" fillId="0" borderId="32" xfId="0" applyFont="1" applyBorder="1" applyAlignment="1"/>
    <xf numFmtId="2" fontId="5" fillId="0" borderId="32" xfId="0" applyNumberFormat="1" applyFont="1" applyBorder="1"/>
    <xf numFmtId="0" fontId="2" fillId="0" borderId="32" xfId="0" applyFont="1" applyBorder="1"/>
    <xf numFmtId="0" fontId="2" fillId="0" borderId="33" xfId="0" applyFont="1" applyBorder="1" applyAlignment="1">
      <alignment horizontal="center"/>
    </xf>
    <xf numFmtId="0" fontId="2" fillId="0" borderId="32" xfId="0" applyFont="1" applyBorder="1" applyAlignment="1">
      <alignment horizontal="right"/>
    </xf>
    <xf numFmtId="0" fontId="5" fillId="0" borderId="32" xfId="0" quotePrefix="1" applyFont="1" applyBorder="1" applyAlignment="1">
      <alignment horizontal="left" vertical="top"/>
    </xf>
    <xf numFmtId="0" fontId="2" fillId="0" borderId="35" xfId="0" applyFont="1" applyBorder="1" applyAlignment="1">
      <alignment horizontal="centerContinuous"/>
    </xf>
    <xf numFmtId="9" fontId="2" fillId="0" borderId="35" xfId="0" applyNumberFormat="1" applyFont="1" applyBorder="1" applyAlignment="1">
      <alignment horizontal="center"/>
    </xf>
    <xf numFmtId="4" fontId="2" fillId="0" borderId="32" xfId="0" applyNumberFormat="1" applyFont="1" applyBorder="1"/>
    <xf numFmtId="3" fontId="2" fillId="0" borderId="32" xfId="0" applyNumberFormat="1" applyFont="1" applyBorder="1"/>
    <xf numFmtId="0" fontId="5" fillId="0" borderId="32" xfId="0" applyFont="1" applyBorder="1"/>
    <xf numFmtId="3" fontId="5" fillId="0" borderId="32" xfId="0" applyNumberFormat="1" applyFont="1" applyBorder="1"/>
    <xf numFmtId="180" fontId="2" fillId="0" borderId="32" xfId="0" applyNumberFormat="1" applyFont="1" applyBorder="1"/>
    <xf numFmtId="0" fontId="2" fillId="0" borderId="35" xfId="0" applyFont="1" applyBorder="1"/>
    <xf numFmtId="3" fontId="2" fillId="0" borderId="35" xfId="0" applyNumberFormat="1" applyFont="1" applyBorder="1"/>
    <xf numFmtId="0" fontId="2" fillId="0" borderId="33" xfId="0" applyFont="1" applyBorder="1"/>
    <xf numFmtId="0" fontId="2" fillId="0" borderId="32" xfId="0" applyFont="1" applyBorder="1" applyAlignment="1">
      <alignment horizontal="left"/>
    </xf>
    <xf numFmtId="0" fontId="2" fillId="0" borderId="0" xfId="0" applyFont="1" applyFill="1" applyBorder="1" applyAlignment="1">
      <alignment horizontal="left"/>
    </xf>
    <xf numFmtId="10" fontId="5" fillId="0" borderId="32" xfId="4" applyNumberFormat="1" applyFont="1" applyBorder="1"/>
    <xf numFmtId="0" fontId="5" fillId="0" borderId="32" xfId="0" quotePrefix="1" applyFont="1" applyBorder="1" applyAlignment="1">
      <alignment horizontal="left"/>
    </xf>
    <xf numFmtId="4" fontId="5" fillId="0" borderId="32" xfId="0" applyNumberFormat="1" applyFont="1" applyBorder="1"/>
    <xf numFmtId="0" fontId="2" fillId="0" borderId="0" xfId="0" applyFont="1" applyBorder="1" applyAlignment="1">
      <alignment horizontal="left"/>
    </xf>
    <xf numFmtId="2" fontId="2" fillId="0" borderId="0" xfId="0" applyNumberFormat="1" applyFont="1" applyBorder="1"/>
    <xf numFmtId="4" fontId="2" fillId="0" borderId="0" xfId="0" applyNumberFormat="1" applyFont="1" applyBorder="1"/>
    <xf numFmtId="2" fontId="2" fillId="0" borderId="32" xfId="0" applyNumberFormat="1" applyFont="1" applyBorder="1"/>
    <xf numFmtId="0" fontId="2" fillId="0" borderId="32" xfId="0" quotePrefix="1" applyFont="1" applyFill="1" applyBorder="1" applyAlignment="1">
      <alignment horizontal="left"/>
    </xf>
    <xf numFmtId="0" fontId="2" fillId="0" borderId="0" xfId="0" quotePrefix="1" applyFont="1" applyFill="1" applyBorder="1" applyAlignment="1">
      <alignment horizontal="left"/>
    </xf>
    <xf numFmtId="0" fontId="2" fillId="0" borderId="32" xfId="0" applyFont="1" applyFill="1" applyBorder="1" applyAlignment="1">
      <alignment horizontal="left"/>
    </xf>
    <xf numFmtId="0" fontId="2" fillId="0" borderId="0" xfId="0" applyFont="1" applyBorder="1" applyAlignment="1">
      <alignment horizontal="left" indent="1"/>
    </xf>
    <xf numFmtId="0" fontId="2" fillId="0" borderId="0" xfId="0" quotePrefix="1" applyFont="1" applyBorder="1" applyAlignment="1">
      <alignment horizontal="left" indent="1"/>
    </xf>
    <xf numFmtId="0" fontId="2" fillId="0" borderId="32" xfId="0" quotePrefix="1" applyFont="1" applyBorder="1" applyAlignment="1">
      <alignment horizontal="left"/>
    </xf>
    <xf numFmtId="0" fontId="5" fillId="0" borderId="4" xfId="0" applyFont="1" applyBorder="1"/>
    <xf numFmtId="0" fontId="7" fillId="0" borderId="0" xfId="0" applyFont="1" applyBorder="1" applyAlignment="1">
      <alignment horizontal="center"/>
    </xf>
    <xf numFmtId="0" fontId="7" fillId="0" borderId="0" xfId="0" applyFont="1" applyBorder="1" applyAlignment="1">
      <alignment horizontal="centerContinuous"/>
    </xf>
    <xf numFmtId="0" fontId="4" fillId="0" borderId="0" xfId="0" applyFont="1" applyBorder="1"/>
    <xf numFmtId="0" fontId="7" fillId="0" borderId="0" xfId="0" applyFont="1" applyBorder="1"/>
    <xf numFmtId="9" fontId="4" fillId="0" borderId="0" xfId="4" applyFont="1" applyBorder="1"/>
    <xf numFmtId="9" fontId="7" fillId="0" borderId="0" xfId="0" applyNumberFormat="1" applyFont="1" applyBorder="1" applyAlignment="1">
      <alignment horizontal="center"/>
    </xf>
    <xf numFmtId="0" fontId="4" fillId="0" borderId="0" xfId="0" applyFont="1" applyBorder="1" applyAlignment="1">
      <alignment horizontal="left"/>
    </xf>
    <xf numFmtId="3" fontId="4" fillId="0" borderId="0" xfId="0" applyNumberFormat="1" applyFont="1" applyBorder="1"/>
    <xf numFmtId="4" fontId="4" fillId="0" borderId="0" xfId="0" applyNumberFormat="1" applyFont="1" applyBorder="1"/>
    <xf numFmtId="0" fontId="4" fillId="0" borderId="0" xfId="0" quotePrefix="1" applyFont="1" applyBorder="1" applyAlignment="1">
      <alignment horizontal="left"/>
    </xf>
    <xf numFmtId="2" fontId="4" fillId="0" borderId="0" xfId="0" applyNumberFormat="1" applyFont="1" applyBorder="1"/>
    <xf numFmtId="0" fontId="4" fillId="0" borderId="0" xfId="0" applyFont="1" applyFill="1" applyBorder="1" applyAlignment="1">
      <alignment horizontal="left"/>
    </xf>
    <xf numFmtId="0" fontId="7" fillId="0" borderId="35" xfId="0" applyFont="1" applyBorder="1" applyAlignment="1">
      <alignment horizontal="center"/>
    </xf>
    <xf numFmtId="0" fontId="7" fillId="0" borderId="34" xfId="0" applyFont="1" applyBorder="1" applyAlignment="1">
      <alignment horizontal="centerContinuous"/>
    </xf>
    <xf numFmtId="0" fontId="7" fillId="0" borderId="32" xfId="0" applyFont="1" applyBorder="1" applyAlignment="1">
      <alignment horizontal="centerContinuous"/>
    </xf>
    <xf numFmtId="0" fontId="7" fillId="0" borderId="35" xfId="0" applyFont="1" applyBorder="1"/>
    <xf numFmtId="0" fontId="7" fillId="0" borderId="0" xfId="0" applyFont="1" applyFill="1" applyBorder="1" applyAlignment="1">
      <alignment horizontal="left"/>
    </xf>
    <xf numFmtId="3" fontId="7" fillId="0" borderId="0" xfId="0" applyNumberFormat="1" applyFont="1" applyBorder="1"/>
    <xf numFmtId="0" fontId="7" fillId="0" borderId="0" xfId="0" quotePrefix="1" applyFont="1" applyFill="1" applyBorder="1" applyAlignment="1">
      <alignment horizontal="left"/>
    </xf>
    <xf numFmtId="0" fontId="5" fillId="0" borderId="5" xfId="0" applyFont="1" applyBorder="1"/>
    <xf numFmtId="0" fontId="5" fillId="0" borderId="5" xfId="0" applyFont="1" applyBorder="1" applyAlignment="1">
      <alignment horizontal="center" vertical="top" wrapText="1" shrinkToFit="1"/>
    </xf>
    <xf numFmtId="0" fontId="5" fillId="0" borderId="5" xfId="0" applyFont="1" applyFill="1" applyBorder="1"/>
    <xf numFmtId="3" fontId="5" fillId="0" borderId="4" xfId="0" applyNumberFormat="1" applyFont="1" applyBorder="1"/>
    <xf numFmtId="3" fontId="5" fillId="0" borderId="4" xfId="0" applyNumberFormat="1" applyFont="1" applyBorder="1" applyAlignment="1">
      <alignment horizontal="center"/>
    </xf>
    <xf numFmtId="2" fontId="5" fillId="0" borderId="4" xfId="0" applyNumberFormat="1" applyFont="1" applyBorder="1"/>
    <xf numFmtId="3" fontId="5" fillId="0" borderId="3" xfId="0" applyNumberFormat="1" applyFont="1" applyBorder="1"/>
    <xf numFmtId="0" fontId="4" fillId="0" borderId="2" xfId="0" applyFont="1" applyFill="1" applyBorder="1" applyAlignment="1">
      <alignment horizontal="left"/>
    </xf>
    <xf numFmtId="2" fontId="5" fillId="0" borderId="2" xfId="0" applyNumberFormat="1" applyFont="1" applyBorder="1"/>
    <xf numFmtId="3" fontId="5" fillId="0" borderId="0" xfId="0" applyNumberFormat="1" applyFont="1" applyBorder="1" applyAlignment="1">
      <alignment horizontal="center"/>
    </xf>
    <xf numFmtId="3" fontId="5" fillId="0" borderId="0" xfId="0" applyNumberFormat="1" applyFont="1" applyBorder="1" applyAlignment="1">
      <alignment horizontal="left"/>
    </xf>
    <xf numFmtId="3" fontId="30" fillId="0" borderId="0" xfId="0" applyNumberFormat="1" applyFont="1" applyBorder="1"/>
    <xf numFmtId="0" fontId="27" fillId="0" borderId="0" xfId="0" applyFont="1" applyFill="1" applyBorder="1" applyAlignment="1">
      <alignment vertical="center"/>
    </xf>
    <xf numFmtId="3" fontId="27" fillId="0" borderId="0" xfId="0" applyNumberFormat="1" applyFont="1" applyFill="1" applyBorder="1" applyAlignment="1">
      <alignment vertical="center"/>
    </xf>
    <xf numFmtId="0" fontId="27" fillId="0" borderId="0" xfId="0" applyFont="1" applyFill="1"/>
    <xf numFmtId="0" fontId="27" fillId="0" borderId="0" xfId="0" applyFont="1" applyFill="1" applyBorder="1"/>
    <xf numFmtId="3" fontId="27" fillId="0" borderId="0" xfId="0" applyNumberFormat="1" applyFont="1" applyFill="1" applyBorder="1"/>
    <xf numFmtId="214" fontId="27" fillId="0" borderId="0" xfId="1" applyNumberFormat="1" applyFont="1" applyFill="1" applyBorder="1"/>
    <xf numFmtId="0" fontId="0" fillId="0" borderId="0" xfId="0" applyFill="1"/>
    <xf numFmtId="0" fontId="2" fillId="0" borderId="0" xfId="0" applyFont="1" applyFill="1" applyBorder="1" applyAlignment="1">
      <alignment horizontal="centerContinuous"/>
    </xf>
    <xf numFmtId="0" fontId="20" fillId="3" borderId="6" xfId="0" applyFont="1" applyFill="1" applyBorder="1" applyAlignment="1">
      <alignment horizontal="center"/>
    </xf>
    <xf numFmtId="0" fontId="20" fillId="3" borderId="8" xfId="0" applyFont="1" applyFill="1" applyBorder="1" applyAlignment="1">
      <alignment horizontal="center"/>
    </xf>
    <xf numFmtId="0" fontId="31" fillId="0" borderId="0" xfId="0" applyFont="1" applyAlignment="1">
      <alignment horizontal="center"/>
    </xf>
    <xf numFmtId="0" fontId="15" fillId="3" borderId="5" xfId="0" applyFont="1" applyFill="1" applyBorder="1" applyAlignment="1">
      <alignment horizontal="center" vertical="center" wrapText="1"/>
    </xf>
    <xf numFmtId="0" fontId="15" fillId="3" borderId="36"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4" fillId="3" borderId="36"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2" fillId="0" borderId="0" xfId="0" applyFont="1" applyAlignment="1">
      <alignment horizontal="center" vertical="center" wrapText="1"/>
    </xf>
    <xf numFmtId="0" fontId="14" fillId="4" borderId="5"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3" fillId="0" borderId="5" xfId="0" applyFont="1" applyBorder="1" applyAlignment="1">
      <alignment horizontal="left" vertical="center" wrapText="1"/>
    </xf>
    <xf numFmtId="0" fontId="13" fillId="0" borderId="4" xfId="0" applyFont="1" applyBorder="1" applyAlignment="1">
      <alignment horizontal="left" vertical="center" wrapText="1"/>
    </xf>
    <xf numFmtId="0" fontId="20" fillId="3" borderId="29" xfId="0" applyFont="1" applyFill="1" applyBorder="1" applyAlignment="1">
      <alignment horizontal="right"/>
    </xf>
    <xf numFmtId="0" fontId="20" fillId="3" borderId="30" xfId="0" applyFont="1" applyFill="1" applyBorder="1" applyAlignment="1">
      <alignment horizontal="right"/>
    </xf>
    <xf numFmtId="0" fontId="25" fillId="0" borderId="0" xfId="0" applyFont="1" applyAlignment="1">
      <alignment horizontal="center"/>
    </xf>
    <xf numFmtId="0" fontId="20" fillId="0" borderId="0" xfId="0" applyFont="1" applyAlignment="1">
      <alignment horizontal="center"/>
    </xf>
    <xf numFmtId="0" fontId="2" fillId="0" borderId="1" xfId="0" applyFont="1" applyBorder="1" applyAlignment="1">
      <alignment horizontal="center"/>
    </xf>
    <xf numFmtId="0" fontId="4" fillId="0" borderId="0" xfId="0" applyFont="1" applyFill="1" applyBorder="1" applyAlignment="1">
      <alignment horizontal="left"/>
    </xf>
    <xf numFmtId="0" fontId="7" fillId="0" borderId="2" xfId="0" applyFont="1" applyFill="1" applyBorder="1" applyAlignment="1">
      <alignment horizontal="center"/>
    </xf>
    <xf numFmtId="0" fontId="2" fillId="0" borderId="1" xfId="0" applyFont="1" applyFill="1" applyBorder="1" applyAlignment="1">
      <alignment horizontal="center"/>
    </xf>
    <xf numFmtId="0" fontId="4" fillId="0" borderId="1" xfId="0" applyFont="1" applyBorder="1" applyAlignment="1">
      <alignment horizontal="left"/>
    </xf>
    <xf numFmtId="0" fontId="7" fillId="0" borderId="0" xfId="0" applyFont="1" applyBorder="1" applyAlignment="1">
      <alignment horizontal="center"/>
    </xf>
    <xf numFmtId="0" fontId="7" fillId="0" borderId="35" xfId="0" applyFont="1" applyBorder="1" applyAlignment="1">
      <alignment horizontal="center"/>
    </xf>
    <xf numFmtId="3" fontId="2" fillId="0" borderId="0" xfId="0" applyNumberFormat="1" applyFont="1" applyBorder="1" applyAlignment="1">
      <alignment horizontal="center"/>
    </xf>
    <xf numFmtId="0" fontId="8" fillId="0" borderId="1" xfId="0" applyFont="1" applyBorder="1" applyAlignment="1">
      <alignment horizontal="left"/>
    </xf>
    <xf numFmtId="0" fontId="5" fillId="0" borderId="1" xfId="0" applyFont="1" applyBorder="1" applyAlignment="1">
      <alignment horizontal="left" vertical="justify" wrapText="1"/>
    </xf>
    <xf numFmtId="0" fontId="5" fillId="0" borderId="1" xfId="0" applyFont="1" applyBorder="1" applyAlignment="1">
      <alignment horizontal="left"/>
    </xf>
    <xf numFmtId="0" fontId="2" fillId="0" borderId="5" xfId="0" applyFont="1" applyBorder="1" applyAlignment="1">
      <alignment horizontal="center"/>
    </xf>
    <xf numFmtId="0" fontId="2" fillId="0" borderId="36"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vertical="justify"/>
    </xf>
    <xf numFmtId="0" fontId="5" fillId="0" borderId="1" xfId="0" applyFont="1" applyBorder="1" applyAlignment="1">
      <alignment horizontal="justify" vertical="justify" wrapText="1"/>
    </xf>
    <xf numFmtId="0" fontId="0" fillId="0" borderId="1" xfId="0" applyBorder="1" applyAlignment="1">
      <alignment horizontal="justify" vertical="justify" wrapText="1"/>
    </xf>
    <xf numFmtId="0" fontId="2" fillId="0" borderId="0" xfId="0" applyFont="1" applyBorder="1" applyAlignment="1">
      <alignment horizontal="center"/>
    </xf>
    <xf numFmtId="0" fontId="2" fillId="0" borderId="35" xfId="0" applyFont="1" applyBorder="1" applyAlignment="1">
      <alignment horizontal="center"/>
    </xf>
    <xf numFmtId="0" fontId="2" fillId="0" borderId="32" xfId="0" applyFont="1" applyBorder="1" applyAlignment="1">
      <alignment horizontal="center"/>
    </xf>
  </cellXfs>
  <cellStyles count="5">
    <cellStyle name="Millares" xfId="1" builtinId="3"/>
    <cellStyle name="Millares 5" xfId="2"/>
    <cellStyle name="Moneda" xfId="3" builtinId="4"/>
    <cellStyle name="Normal" xfId="0" builtinId="0"/>
    <cellStyle name="Porcentual" xfId="4"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xdr:col>
      <xdr:colOff>361950</xdr:colOff>
      <xdr:row>51</xdr:row>
      <xdr:rowOff>38100</xdr:rowOff>
    </xdr:from>
    <xdr:to>
      <xdr:col>1</xdr:col>
      <xdr:colOff>381000</xdr:colOff>
      <xdr:row>52</xdr:row>
      <xdr:rowOff>76200</xdr:rowOff>
    </xdr:to>
    <xdr:sp macro="" textlink="">
      <xdr:nvSpPr>
        <xdr:cNvPr id="2335507" name="Text Box 10"/>
        <xdr:cNvSpPr txBox="1">
          <a:spLocks noChangeArrowheads="1"/>
        </xdr:cNvSpPr>
      </xdr:nvSpPr>
      <xdr:spPr bwMode="auto">
        <a:xfrm>
          <a:off x="2486025" y="9801225"/>
          <a:ext cx="19050" cy="228600"/>
        </a:xfrm>
        <a:prstGeom prst="rect">
          <a:avLst/>
        </a:prstGeom>
        <a:noFill/>
        <a:ln w="9525">
          <a:noFill/>
          <a:miter lim="800000"/>
          <a:headEnd/>
          <a:tailEnd/>
        </a:ln>
      </xdr:spPr>
    </xdr:sp>
    <xdr:clientData/>
  </xdr:twoCellAnchor>
  <xdr:twoCellAnchor editAs="oneCell">
    <xdr:from>
      <xdr:col>3</xdr:col>
      <xdr:colOff>361950</xdr:colOff>
      <xdr:row>51</xdr:row>
      <xdr:rowOff>38100</xdr:rowOff>
    </xdr:from>
    <xdr:to>
      <xdr:col>3</xdr:col>
      <xdr:colOff>381000</xdr:colOff>
      <xdr:row>52</xdr:row>
      <xdr:rowOff>76200</xdr:rowOff>
    </xdr:to>
    <xdr:sp macro="" textlink="">
      <xdr:nvSpPr>
        <xdr:cNvPr id="2335508" name="Text Box 10"/>
        <xdr:cNvSpPr txBox="1">
          <a:spLocks noChangeArrowheads="1"/>
        </xdr:cNvSpPr>
      </xdr:nvSpPr>
      <xdr:spPr bwMode="auto">
        <a:xfrm>
          <a:off x="4714875" y="9801225"/>
          <a:ext cx="19050" cy="228600"/>
        </a:xfrm>
        <a:prstGeom prst="rect">
          <a:avLst/>
        </a:prstGeom>
        <a:noFill/>
        <a:ln w="9525">
          <a:noFill/>
          <a:miter lim="800000"/>
          <a:headEnd/>
          <a:tailEnd/>
        </a:ln>
      </xdr:spPr>
    </xdr:sp>
    <xdr:clientData/>
  </xdr:twoCellAnchor>
  <xdr:twoCellAnchor editAs="oneCell">
    <xdr:from>
      <xdr:col>5</xdr:col>
      <xdr:colOff>361950</xdr:colOff>
      <xdr:row>51</xdr:row>
      <xdr:rowOff>38100</xdr:rowOff>
    </xdr:from>
    <xdr:to>
      <xdr:col>5</xdr:col>
      <xdr:colOff>381000</xdr:colOff>
      <xdr:row>52</xdr:row>
      <xdr:rowOff>76200</xdr:rowOff>
    </xdr:to>
    <xdr:sp macro="" textlink="">
      <xdr:nvSpPr>
        <xdr:cNvPr id="2335509" name="Text Box 10"/>
        <xdr:cNvSpPr txBox="1">
          <a:spLocks noChangeArrowheads="1"/>
        </xdr:cNvSpPr>
      </xdr:nvSpPr>
      <xdr:spPr bwMode="auto">
        <a:xfrm>
          <a:off x="6943725" y="9801225"/>
          <a:ext cx="19050" cy="228600"/>
        </a:xfrm>
        <a:prstGeom prst="rect">
          <a:avLst/>
        </a:prstGeom>
        <a:noFill/>
        <a:ln w="9525">
          <a:noFill/>
          <a:miter lim="800000"/>
          <a:headEnd/>
          <a:tailEnd/>
        </a:ln>
      </xdr:spPr>
    </xdr:sp>
    <xdr:clientData/>
  </xdr:twoCellAnchor>
  <xdr:twoCellAnchor editAs="oneCell">
    <xdr:from>
      <xdr:col>7</xdr:col>
      <xdr:colOff>361950</xdr:colOff>
      <xdr:row>51</xdr:row>
      <xdr:rowOff>38100</xdr:rowOff>
    </xdr:from>
    <xdr:to>
      <xdr:col>7</xdr:col>
      <xdr:colOff>381000</xdr:colOff>
      <xdr:row>52</xdr:row>
      <xdr:rowOff>76200</xdr:rowOff>
    </xdr:to>
    <xdr:sp macro="" textlink="">
      <xdr:nvSpPr>
        <xdr:cNvPr id="2335510" name="Text Box 10"/>
        <xdr:cNvSpPr txBox="1">
          <a:spLocks noChangeArrowheads="1"/>
        </xdr:cNvSpPr>
      </xdr:nvSpPr>
      <xdr:spPr bwMode="auto">
        <a:xfrm>
          <a:off x="8791575" y="9801225"/>
          <a:ext cx="19050" cy="228600"/>
        </a:xfrm>
        <a:prstGeom prst="rect">
          <a:avLst/>
        </a:prstGeom>
        <a:noFill/>
        <a:ln w="9525">
          <a:noFill/>
          <a:miter lim="800000"/>
          <a:headEnd/>
          <a:tailEnd/>
        </a:ln>
      </xdr:spPr>
    </xdr:sp>
    <xdr:clientData/>
  </xdr:twoCellAnchor>
  <xdr:twoCellAnchor>
    <xdr:from>
      <xdr:col>2</xdr:col>
      <xdr:colOff>1695450</xdr:colOff>
      <xdr:row>52</xdr:row>
      <xdr:rowOff>95250</xdr:rowOff>
    </xdr:from>
    <xdr:to>
      <xdr:col>2</xdr:col>
      <xdr:colOff>1704975</xdr:colOff>
      <xdr:row>54</xdr:row>
      <xdr:rowOff>133350</xdr:rowOff>
    </xdr:to>
    <xdr:cxnSp macro="">
      <xdr:nvCxnSpPr>
        <xdr:cNvPr id="2335511" name="54 Conector recto de flecha"/>
        <xdr:cNvCxnSpPr>
          <a:cxnSpLocks noChangeShapeType="1"/>
        </xdr:cNvCxnSpPr>
      </xdr:nvCxnSpPr>
      <xdr:spPr bwMode="auto">
        <a:xfrm rot="5400000">
          <a:off x="4143375" y="10258425"/>
          <a:ext cx="419100" cy="0"/>
        </a:xfrm>
        <a:prstGeom prst="straightConnector1">
          <a:avLst/>
        </a:prstGeom>
        <a:noFill/>
        <a:ln w="9525" algn="ctr">
          <a:solidFill>
            <a:srgbClr val="000000"/>
          </a:solidFill>
          <a:round/>
          <a:headEnd/>
          <a:tailEnd type="arrow" w="med" len="med"/>
        </a:ln>
      </xdr:spPr>
    </xdr:cxnSp>
    <xdr:clientData/>
  </xdr:twoCellAnchor>
  <xdr:twoCellAnchor>
    <xdr:from>
      <xdr:col>1</xdr:col>
      <xdr:colOff>657225</xdr:colOff>
      <xdr:row>46</xdr:row>
      <xdr:rowOff>38100</xdr:rowOff>
    </xdr:from>
    <xdr:to>
      <xdr:col>6</xdr:col>
      <xdr:colOff>666750</xdr:colOff>
      <xdr:row>54</xdr:row>
      <xdr:rowOff>114300</xdr:rowOff>
    </xdr:to>
    <xdr:grpSp>
      <xdr:nvGrpSpPr>
        <xdr:cNvPr id="2335512" name="38 Grupo"/>
        <xdr:cNvGrpSpPr>
          <a:grpSpLocks/>
        </xdr:cNvGrpSpPr>
      </xdr:nvGrpSpPr>
      <xdr:grpSpPr bwMode="auto">
        <a:xfrm>
          <a:off x="2781300" y="8839200"/>
          <a:ext cx="5400675" cy="1609725"/>
          <a:chOff x="3345657" y="8893969"/>
          <a:chExt cx="6917531" cy="1612104"/>
        </a:xfrm>
      </xdr:grpSpPr>
      <xdr:sp macro="" textlink="">
        <xdr:nvSpPr>
          <xdr:cNvPr id="2335513" name="Line 1"/>
          <xdr:cNvSpPr>
            <a:spLocks noChangeShapeType="1"/>
          </xdr:cNvSpPr>
        </xdr:nvSpPr>
        <xdr:spPr bwMode="auto">
          <a:xfrm flipV="1">
            <a:off x="3345657" y="9727405"/>
            <a:ext cx="6917531" cy="0"/>
          </a:xfrm>
          <a:prstGeom prst="line">
            <a:avLst/>
          </a:prstGeom>
          <a:noFill/>
          <a:ln w="41275">
            <a:solidFill>
              <a:srgbClr val="000000">
                <a:alpha val="41176"/>
              </a:srgbClr>
            </a:solidFill>
            <a:round/>
            <a:headEnd type="diamond" w="med" len="med"/>
            <a:tailEnd type="diamond" w="med" len="med"/>
          </a:ln>
        </xdr:spPr>
      </xdr:sp>
      <xdr:cxnSp macro="">
        <xdr:nvCxnSpPr>
          <xdr:cNvPr id="2335514" name="52 Conector recto de flecha"/>
          <xdr:cNvCxnSpPr>
            <a:cxnSpLocks noChangeShapeType="1"/>
          </xdr:cNvCxnSpPr>
        </xdr:nvCxnSpPr>
        <xdr:spPr bwMode="auto">
          <a:xfrm rot="5400000">
            <a:off x="4530687" y="10300189"/>
            <a:ext cx="409575" cy="2193"/>
          </a:xfrm>
          <a:prstGeom prst="straightConnector1">
            <a:avLst/>
          </a:prstGeom>
          <a:noFill/>
          <a:ln w="9525" algn="ctr">
            <a:solidFill>
              <a:srgbClr val="000000"/>
            </a:solidFill>
            <a:round/>
            <a:headEnd/>
            <a:tailEnd type="arrow" w="med" len="med"/>
          </a:ln>
        </xdr:spPr>
      </xdr:cxnSp>
      <xdr:cxnSp macro="">
        <xdr:nvCxnSpPr>
          <xdr:cNvPr id="2335515" name="56 Conector recto de flecha"/>
          <xdr:cNvCxnSpPr>
            <a:cxnSpLocks noChangeShapeType="1"/>
          </xdr:cNvCxnSpPr>
        </xdr:nvCxnSpPr>
        <xdr:spPr bwMode="auto">
          <a:xfrm rot="5400000" flipH="1" flipV="1">
            <a:off x="6011317" y="9585815"/>
            <a:ext cx="238125" cy="2193"/>
          </a:xfrm>
          <a:prstGeom prst="straightConnector1">
            <a:avLst/>
          </a:prstGeom>
          <a:noFill/>
          <a:ln w="9525" algn="ctr">
            <a:solidFill>
              <a:srgbClr val="000000"/>
            </a:solidFill>
            <a:round/>
            <a:headEnd/>
            <a:tailEnd type="arrow" w="med" len="med"/>
          </a:ln>
        </xdr:spPr>
      </xdr:cxnSp>
      <xdr:cxnSp macro="">
        <xdr:nvCxnSpPr>
          <xdr:cNvPr id="2335516" name="58 Conector recto de flecha"/>
          <xdr:cNvCxnSpPr>
            <a:cxnSpLocks noChangeShapeType="1"/>
          </xdr:cNvCxnSpPr>
        </xdr:nvCxnSpPr>
        <xdr:spPr bwMode="auto">
          <a:xfrm rot="5400000" flipH="1" flipV="1">
            <a:off x="7298960" y="9509615"/>
            <a:ext cx="447675" cy="2193"/>
          </a:xfrm>
          <a:prstGeom prst="straightConnector1">
            <a:avLst/>
          </a:prstGeom>
          <a:noFill/>
          <a:ln w="9525" algn="ctr">
            <a:solidFill>
              <a:srgbClr val="000000"/>
            </a:solidFill>
            <a:round/>
            <a:headEnd/>
            <a:tailEnd type="arrow" w="med" len="med"/>
          </a:ln>
        </xdr:spPr>
      </xdr:cxnSp>
      <xdr:cxnSp macro="">
        <xdr:nvCxnSpPr>
          <xdr:cNvPr id="2335517" name="60 Conector recto de flecha"/>
          <xdr:cNvCxnSpPr>
            <a:cxnSpLocks noChangeShapeType="1"/>
          </xdr:cNvCxnSpPr>
        </xdr:nvCxnSpPr>
        <xdr:spPr bwMode="auto">
          <a:xfrm rot="16200000" flipV="1">
            <a:off x="8599992" y="9450951"/>
            <a:ext cx="590550" cy="13157"/>
          </a:xfrm>
          <a:prstGeom prst="straightConnector1">
            <a:avLst/>
          </a:prstGeom>
          <a:noFill/>
          <a:ln w="9525" algn="ctr">
            <a:solidFill>
              <a:srgbClr val="000000"/>
            </a:solidFill>
            <a:round/>
            <a:headEnd/>
            <a:tailEnd type="arrow" w="med" len="med"/>
          </a:ln>
        </xdr:spPr>
      </xdr:cxnSp>
      <xdr:cxnSp macro="">
        <xdr:nvCxnSpPr>
          <xdr:cNvPr id="2335518" name="71 Conector recto de flecha"/>
          <xdr:cNvCxnSpPr>
            <a:cxnSpLocks noChangeShapeType="1"/>
          </xdr:cNvCxnSpPr>
        </xdr:nvCxnSpPr>
        <xdr:spPr bwMode="auto">
          <a:xfrm rot="5400000" flipH="1" flipV="1">
            <a:off x="9833452" y="9302447"/>
            <a:ext cx="819150" cy="2193"/>
          </a:xfrm>
          <a:prstGeom prst="straightConnector1">
            <a:avLst/>
          </a:prstGeom>
          <a:noFill/>
          <a:ln w="9525" algn="ctr">
            <a:solidFill>
              <a:srgbClr val="000000"/>
            </a:solidFill>
            <a:round/>
            <a:headEnd/>
            <a:tailEnd type="arrow" w="med" len="med"/>
          </a:ln>
        </xdr:spPr>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salvados\Documents\ESPECIALIZACION%20EN%20GERENCIA%20DE%20PROYECTOS\PROYECTO%20U\copia%20ESTUDIO%20FINANCIERO%20EN%20vih%20sida.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ESTA DE RESULT"/>
      <sheetName val="Hoja3"/>
      <sheetName val="Hoja1"/>
      <sheetName val="INVERSION"/>
      <sheetName val="COSTOS PRODUCCION"/>
      <sheetName val="GASTOS ADMON Y VTAS"/>
      <sheetName val="PROYECCION DE VENTAS"/>
      <sheetName val="FLUJO DE CAJA"/>
      <sheetName val="FLUJO DE CAJA AÑO"/>
      <sheetName val="PUNTO DE EQUILIBRIO"/>
      <sheetName val="P&amp;G"/>
      <sheetName val="balance"/>
    </sheetNames>
    <sheetDataSet>
      <sheetData sheetId="0"/>
      <sheetData sheetId="1"/>
      <sheetData sheetId="2"/>
      <sheetData sheetId="3"/>
      <sheetData sheetId="4"/>
      <sheetData sheetId="5">
        <row r="9">
          <cell r="E9">
            <v>1800000</v>
          </cell>
        </row>
        <row r="32">
          <cell r="C32">
            <v>397166.66666666669</v>
          </cell>
        </row>
        <row r="57">
          <cell r="D57">
            <v>57750</v>
          </cell>
        </row>
      </sheetData>
      <sheetData sheetId="6"/>
      <sheetData sheetId="7"/>
      <sheetData sheetId="8"/>
      <sheetData sheetId="9"/>
      <sheetData sheetId="10"/>
      <sheetData sheetId="1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J81"/>
  <sheetViews>
    <sheetView tabSelected="1" workbookViewId="0">
      <selection activeCell="A19" sqref="A19"/>
    </sheetView>
  </sheetViews>
  <sheetFormatPr baseColWidth="10" defaultColWidth="15.7109375" defaultRowHeight="12.75"/>
  <cols>
    <col min="1" max="1" width="45" customWidth="1"/>
    <col min="2" max="5" width="15.7109375" customWidth="1"/>
    <col min="6" max="6" width="19.42578125" customWidth="1"/>
  </cols>
  <sheetData>
    <row r="1" spans="1:10" ht="21">
      <c r="A1" s="104" t="s">
        <v>407</v>
      </c>
    </row>
    <row r="2" spans="1:10" ht="13.5" thickBot="1"/>
    <row r="3" spans="1:10" ht="32.25" thickBot="1">
      <c r="A3" s="105" t="s">
        <v>408</v>
      </c>
      <c r="B3" s="106" t="s">
        <v>409</v>
      </c>
      <c r="C3" s="106" t="s">
        <v>410</v>
      </c>
      <c r="D3" s="106" t="s">
        <v>411</v>
      </c>
      <c r="E3" s="107" t="s">
        <v>412</v>
      </c>
      <c r="F3" s="108"/>
      <c r="G3" s="109"/>
      <c r="H3" s="108"/>
      <c r="I3" s="108"/>
      <c r="J3" s="108"/>
    </row>
    <row r="4" spans="1:10" ht="16.5" thickBot="1">
      <c r="A4" s="110" t="s">
        <v>413</v>
      </c>
      <c r="B4" s="111"/>
      <c r="C4" s="112"/>
      <c r="D4" s="113"/>
      <c r="E4" s="114"/>
      <c r="F4" s="115" t="s">
        <v>414</v>
      </c>
      <c r="G4" s="116" t="s">
        <v>415</v>
      </c>
      <c r="H4" s="117" t="s">
        <v>416</v>
      </c>
      <c r="I4" s="117" t="s">
        <v>417</v>
      </c>
      <c r="J4" s="118" t="s">
        <v>418</v>
      </c>
    </row>
    <row r="5" spans="1:10">
      <c r="A5" s="119" t="s">
        <v>419</v>
      </c>
      <c r="B5" s="120">
        <v>10582.010582010582</v>
      </c>
      <c r="C5" s="121">
        <v>12</v>
      </c>
      <c r="D5" s="120">
        <v>126984.12698412698</v>
      </c>
      <c r="E5" s="122">
        <f>+J5</f>
        <v>13227.513227513227</v>
      </c>
      <c r="F5" s="123">
        <v>2500000</v>
      </c>
      <c r="G5" s="124">
        <f>+F5*12</f>
        <v>30000000</v>
      </c>
      <c r="H5" s="248">
        <v>189</v>
      </c>
      <c r="I5" s="125">
        <f>+H5*12</f>
        <v>2268</v>
      </c>
      <c r="J5" s="126">
        <f>+G5/I5</f>
        <v>13227.513227513227</v>
      </c>
    </row>
    <row r="6" spans="1:10">
      <c r="A6" s="119" t="s">
        <v>420</v>
      </c>
      <c r="B6" s="120">
        <v>9523.8095238095229</v>
      </c>
      <c r="C6" s="121">
        <v>4</v>
      </c>
      <c r="D6" s="120">
        <v>38095.238095238092</v>
      </c>
      <c r="E6" s="122">
        <f>+J6</f>
        <v>12698.412698412698</v>
      </c>
      <c r="F6" s="127">
        <v>800000</v>
      </c>
      <c r="G6" s="128">
        <f>+F6*12</f>
        <v>9600000</v>
      </c>
      <c r="H6" s="129">
        <v>189</v>
      </c>
      <c r="I6" s="129">
        <v>756</v>
      </c>
      <c r="J6" s="130">
        <f>+G6/I6</f>
        <v>12698.412698412698</v>
      </c>
    </row>
    <row r="7" spans="1:10">
      <c r="A7" s="119" t="s">
        <v>421</v>
      </c>
      <c r="B7" s="120">
        <v>9523.8095238095229</v>
      </c>
      <c r="C7" s="121">
        <v>4</v>
      </c>
      <c r="D7" s="120">
        <v>38095.238095238092</v>
      </c>
      <c r="E7" s="122">
        <f>+J7</f>
        <v>12698.412698412698</v>
      </c>
      <c r="F7" s="127">
        <v>800000</v>
      </c>
      <c r="G7" s="128">
        <f>+F7*12</f>
        <v>9600000</v>
      </c>
      <c r="H7" s="129">
        <v>189</v>
      </c>
      <c r="I7" s="129">
        <v>756</v>
      </c>
      <c r="J7" s="130">
        <f>+G7/I7</f>
        <v>12698.412698412698</v>
      </c>
    </row>
    <row r="8" spans="1:10">
      <c r="A8" s="119" t="s">
        <v>422</v>
      </c>
      <c r="B8" s="120">
        <v>9523.8095238095229</v>
      </c>
      <c r="C8" s="121">
        <v>4</v>
      </c>
      <c r="D8" s="120">
        <v>38095.238095238092</v>
      </c>
      <c r="E8" s="122">
        <f>+J8</f>
        <v>12698.412698412698</v>
      </c>
      <c r="F8" s="127">
        <v>800000</v>
      </c>
      <c r="G8" s="128">
        <f>+F8*12</f>
        <v>9600000</v>
      </c>
      <c r="H8" s="129">
        <v>189</v>
      </c>
      <c r="I8" s="129">
        <v>756</v>
      </c>
      <c r="J8" s="130">
        <f>+G8/I8</f>
        <v>12698.412698412698</v>
      </c>
    </row>
    <row r="9" spans="1:10" ht="13.5" thickBot="1">
      <c r="A9" s="119" t="s">
        <v>423</v>
      </c>
      <c r="B9" s="120">
        <v>7936.5079365079364</v>
      </c>
      <c r="C9" s="121">
        <v>12</v>
      </c>
      <c r="D9" s="120">
        <v>95238.095238095237</v>
      </c>
      <c r="E9" s="122">
        <f>+J9</f>
        <v>6349.2063492063489</v>
      </c>
      <c r="F9" s="240">
        <v>1200000</v>
      </c>
      <c r="G9" s="241">
        <f>+F9*12</f>
        <v>14400000</v>
      </c>
      <c r="H9" s="129">
        <v>189</v>
      </c>
      <c r="I9" s="129">
        <v>2268</v>
      </c>
      <c r="J9" s="130">
        <f>+G9/I9</f>
        <v>6349.2063492063489</v>
      </c>
    </row>
    <row r="10" spans="1:10" ht="15.75" thickBot="1">
      <c r="A10" s="119"/>
      <c r="B10" s="120"/>
      <c r="C10" s="121"/>
      <c r="D10" s="120"/>
      <c r="E10" s="239"/>
      <c r="F10" s="242">
        <f>SUM(F5:F9)</f>
        <v>6100000</v>
      </c>
      <c r="G10" s="243">
        <f>SUM(G5:G9)</f>
        <v>73200000</v>
      </c>
      <c r="H10" s="131"/>
      <c r="I10" s="131"/>
    </row>
    <row r="11" spans="1:10" ht="15">
      <c r="A11" s="132" t="s">
        <v>424</v>
      </c>
      <c r="B11" s="120"/>
      <c r="C11" s="121"/>
      <c r="D11" s="120"/>
      <c r="E11" s="122"/>
      <c r="H11" s="238"/>
    </row>
    <row r="12" spans="1:10">
      <c r="A12" s="119" t="s">
        <v>425</v>
      </c>
      <c r="B12" s="120">
        <v>15000</v>
      </c>
      <c r="C12" s="121">
        <v>3</v>
      </c>
      <c r="D12" s="120">
        <v>45000</v>
      </c>
      <c r="E12" s="122">
        <f>+D12/12</f>
        <v>3750</v>
      </c>
    </row>
    <row r="13" spans="1:10" ht="13.5" thickBot="1">
      <c r="A13" s="119" t="s">
        <v>426</v>
      </c>
      <c r="B13" s="120">
        <v>15000</v>
      </c>
      <c r="C13" s="121">
        <v>4</v>
      </c>
      <c r="D13" s="120">
        <v>60000</v>
      </c>
      <c r="E13" s="122">
        <f>+D13/12</f>
        <v>5000</v>
      </c>
    </row>
    <row r="14" spans="1:10" ht="15.75" thickBot="1">
      <c r="A14" s="133"/>
      <c r="B14" s="134"/>
      <c r="C14" s="135"/>
      <c r="D14" s="134"/>
      <c r="E14" s="136"/>
      <c r="G14" s="344" t="s">
        <v>427</v>
      </c>
      <c r="H14" s="345"/>
    </row>
    <row r="15" spans="1:10" ht="15.75" thickBot="1">
      <c r="A15" s="137" t="s">
        <v>428</v>
      </c>
      <c r="B15" s="138"/>
      <c r="C15" s="139"/>
      <c r="D15" s="138">
        <f>SUM(D4:D14)</f>
        <v>441507.93650793657</v>
      </c>
      <c r="E15" s="140">
        <f>SUM(E4:E13)</f>
        <v>66421.957671957673</v>
      </c>
      <c r="G15" s="141" t="s">
        <v>429</v>
      </c>
      <c r="H15" s="142">
        <v>2500000</v>
      </c>
      <c r="I15" s="24"/>
    </row>
    <row r="16" spans="1:10" ht="15">
      <c r="A16" s="143"/>
      <c r="B16" s="144"/>
      <c r="C16" s="145"/>
      <c r="D16" s="144"/>
      <c r="E16" s="146"/>
      <c r="G16" s="147" t="s">
        <v>430</v>
      </c>
      <c r="H16" s="148">
        <v>800000</v>
      </c>
      <c r="I16" s="24"/>
    </row>
    <row r="17" spans="1:9" ht="15">
      <c r="A17" s="132"/>
      <c r="B17" s="149"/>
      <c r="C17" s="150"/>
      <c r="D17" s="149"/>
      <c r="E17" s="151"/>
      <c r="G17" s="147" t="s">
        <v>431</v>
      </c>
      <c r="H17" s="148">
        <v>800000</v>
      </c>
      <c r="I17" s="24"/>
    </row>
    <row r="18" spans="1:9" ht="15">
      <c r="A18" s="132" t="s">
        <v>432</v>
      </c>
      <c r="B18" s="120"/>
      <c r="C18" s="121"/>
      <c r="D18" s="120">
        <v>52296.296296296299</v>
      </c>
      <c r="E18" s="122">
        <f>+D18/12</f>
        <v>4358.0246913580249</v>
      </c>
      <c r="G18" s="147" t="s">
        <v>433</v>
      </c>
      <c r="H18" s="148">
        <v>800000</v>
      </c>
      <c r="I18" s="24"/>
    </row>
    <row r="19" spans="1:9" ht="15.75" thickBot="1">
      <c r="A19" s="119"/>
      <c r="B19" s="152"/>
      <c r="C19" s="121"/>
      <c r="D19" s="120"/>
      <c r="E19" s="122"/>
      <c r="G19" s="153" t="s">
        <v>434</v>
      </c>
      <c r="H19" s="154">
        <v>1200000</v>
      </c>
    </row>
    <row r="20" spans="1:9" ht="15.75">
      <c r="A20" s="155" t="s">
        <v>435</v>
      </c>
      <c r="B20" s="152"/>
      <c r="C20" s="121"/>
      <c r="D20" s="120"/>
      <c r="E20" s="122"/>
    </row>
    <row r="21" spans="1:9">
      <c r="A21" s="119" t="s">
        <v>436</v>
      </c>
      <c r="B21" s="120">
        <v>10270</v>
      </c>
      <c r="C21" s="156">
        <v>4</v>
      </c>
      <c r="D21" s="120">
        <v>41080</v>
      </c>
      <c r="E21" s="122">
        <f t="shared" ref="E21:E37" si="0">+D21/12</f>
        <v>3423.3333333333335</v>
      </c>
    </row>
    <row r="22" spans="1:9">
      <c r="A22" s="119" t="s">
        <v>437</v>
      </c>
      <c r="B22" s="120">
        <v>11290</v>
      </c>
      <c r="C22" s="156">
        <v>4</v>
      </c>
      <c r="D22" s="120">
        <v>45160</v>
      </c>
      <c r="E22" s="122">
        <f t="shared" si="0"/>
        <v>3763.3333333333335</v>
      </c>
    </row>
    <row r="23" spans="1:9">
      <c r="A23" s="119" t="s">
        <v>438</v>
      </c>
      <c r="B23" s="120">
        <v>3095</v>
      </c>
      <c r="C23" s="121">
        <v>4</v>
      </c>
      <c r="D23" s="120">
        <v>12380</v>
      </c>
      <c r="E23" s="122">
        <f t="shared" si="0"/>
        <v>1031.6666666666667</v>
      </c>
      <c r="F23" s="25"/>
      <c r="G23" s="245"/>
    </row>
    <row r="24" spans="1:9">
      <c r="A24" s="119" t="s">
        <v>439</v>
      </c>
      <c r="B24" s="120">
        <v>3785</v>
      </c>
      <c r="C24" s="121">
        <v>4</v>
      </c>
      <c r="D24" s="120">
        <v>15140</v>
      </c>
      <c r="E24" s="122">
        <f t="shared" si="0"/>
        <v>1261.6666666666667</v>
      </c>
    </row>
    <row r="25" spans="1:9">
      <c r="A25" s="119" t="s">
        <v>440</v>
      </c>
      <c r="B25" s="120">
        <v>4530</v>
      </c>
      <c r="C25" s="156">
        <v>4</v>
      </c>
      <c r="D25" s="120">
        <v>18120</v>
      </c>
      <c r="E25" s="122">
        <f t="shared" si="0"/>
        <v>1510</v>
      </c>
    </row>
    <row r="26" spans="1:9">
      <c r="A26" s="119" t="s">
        <v>441</v>
      </c>
      <c r="B26" s="120">
        <v>18500</v>
      </c>
      <c r="C26" s="156">
        <v>4</v>
      </c>
      <c r="D26" s="120">
        <v>74000</v>
      </c>
      <c r="E26" s="122">
        <f t="shared" si="0"/>
        <v>6166.666666666667</v>
      </c>
    </row>
    <row r="27" spans="1:9">
      <c r="A27" s="119" t="s">
        <v>442</v>
      </c>
      <c r="B27" s="120">
        <v>3095</v>
      </c>
      <c r="C27" s="156">
        <v>4</v>
      </c>
      <c r="D27" s="120">
        <v>12380</v>
      </c>
      <c r="E27" s="122">
        <f t="shared" si="0"/>
        <v>1031.6666666666667</v>
      </c>
    </row>
    <row r="28" spans="1:9">
      <c r="A28" s="119" t="s">
        <v>443</v>
      </c>
      <c r="B28" s="120">
        <v>4380</v>
      </c>
      <c r="C28" s="156">
        <v>4</v>
      </c>
      <c r="D28" s="120">
        <v>17520</v>
      </c>
      <c r="E28" s="122">
        <f t="shared" si="0"/>
        <v>1460</v>
      </c>
    </row>
    <row r="29" spans="1:9">
      <c r="A29" s="119" t="s">
        <v>444</v>
      </c>
      <c r="B29" s="120">
        <v>4380</v>
      </c>
      <c r="C29" s="156">
        <v>4</v>
      </c>
      <c r="D29" s="120">
        <v>17520</v>
      </c>
      <c r="E29" s="122">
        <f t="shared" si="0"/>
        <v>1460</v>
      </c>
    </row>
    <row r="30" spans="1:9">
      <c r="A30" s="119" t="s">
        <v>445</v>
      </c>
      <c r="B30" s="120">
        <v>4380</v>
      </c>
      <c r="C30" s="156">
        <v>4</v>
      </c>
      <c r="D30" s="120">
        <v>17520</v>
      </c>
      <c r="E30" s="122">
        <f t="shared" si="0"/>
        <v>1460</v>
      </c>
    </row>
    <row r="31" spans="1:9">
      <c r="A31" s="119" t="s">
        <v>446</v>
      </c>
      <c r="B31" s="120">
        <v>36585</v>
      </c>
      <c r="C31" s="156">
        <v>4</v>
      </c>
      <c r="D31" s="120">
        <v>146340</v>
      </c>
      <c r="E31" s="122">
        <f t="shared" si="0"/>
        <v>12195</v>
      </c>
    </row>
    <row r="32" spans="1:9">
      <c r="A32" s="119" t="s">
        <v>447</v>
      </c>
      <c r="B32" s="120">
        <v>10000</v>
      </c>
      <c r="C32" s="156">
        <v>4</v>
      </c>
      <c r="D32" s="120">
        <v>40000</v>
      </c>
      <c r="E32" s="122">
        <f t="shared" si="0"/>
        <v>3333.3333333333335</v>
      </c>
    </row>
    <row r="33" spans="1:9">
      <c r="A33" s="119" t="s">
        <v>448</v>
      </c>
      <c r="B33" s="120">
        <v>10000</v>
      </c>
      <c r="C33" s="156">
        <v>4</v>
      </c>
      <c r="D33" s="120">
        <v>40000</v>
      </c>
      <c r="E33" s="122">
        <f t="shared" si="0"/>
        <v>3333.3333333333335</v>
      </c>
    </row>
    <row r="34" spans="1:9">
      <c r="A34" s="119" t="s">
        <v>449</v>
      </c>
      <c r="B34" s="120">
        <v>12500</v>
      </c>
      <c r="C34" s="156">
        <v>4</v>
      </c>
      <c r="D34" s="120">
        <v>50000</v>
      </c>
      <c r="E34" s="122">
        <f t="shared" si="0"/>
        <v>4166.666666666667</v>
      </c>
    </row>
    <row r="35" spans="1:9">
      <c r="A35" s="119" t="s">
        <v>450</v>
      </c>
      <c r="B35" s="120">
        <v>15000</v>
      </c>
      <c r="C35" s="156">
        <v>2</v>
      </c>
      <c r="D35" s="120">
        <v>30000</v>
      </c>
      <c r="E35" s="122">
        <f t="shared" si="0"/>
        <v>2500</v>
      </c>
    </row>
    <row r="36" spans="1:9">
      <c r="A36" s="119" t="s">
        <v>451</v>
      </c>
      <c r="B36" s="120">
        <v>180000</v>
      </c>
      <c r="C36" s="156">
        <v>3</v>
      </c>
      <c r="D36" s="120">
        <v>540000</v>
      </c>
      <c r="E36" s="122">
        <f t="shared" si="0"/>
        <v>45000</v>
      </c>
    </row>
    <row r="37" spans="1:9">
      <c r="A37" s="119" t="s">
        <v>452</v>
      </c>
      <c r="B37" s="120">
        <v>260000</v>
      </c>
      <c r="C37" s="156">
        <v>2</v>
      </c>
      <c r="D37" s="120">
        <v>520000</v>
      </c>
      <c r="E37" s="122">
        <f t="shared" si="0"/>
        <v>43333.333333333336</v>
      </c>
    </row>
    <row r="38" spans="1:9">
      <c r="A38" s="119"/>
      <c r="B38" s="120"/>
      <c r="C38" s="121"/>
      <c r="D38" s="120"/>
      <c r="E38" s="122"/>
    </row>
    <row r="39" spans="1:9" ht="15.75">
      <c r="A39" s="155" t="s">
        <v>453</v>
      </c>
      <c r="B39" s="120"/>
      <c r="C39" s="121"/>
      <c r="D39" s="120"/>
      <c r="E39" s="122"/>
    </row>
    <row r="40" spans="1:9">
      <c r="A40" s="119" t="s">
        <v>454</v>
      </c>
      <c r="B40" s="120">
        <v>800000</v>
      </c>
      <c r="C40" s="121">
        <v>12</v>
      </c>
      <c r="D40" s="120">
        <v>9600000</v>
      </c>
      <c r="E40" s="122">
        <f>+D40/12</f>
        <v>800000</v>
      </c>
    </row>
    <row r="41" spans="1:9" ht="15.75">
      <c r="A41" s="155" t="s">
        <v>455</v>
      </c>
      <c r="B41" s="120">
        <v>35000</v>
      </c>
      <c r="C41" s="121">
        <v>1</v>
      </c>
      <c r="D41" s="120">
        <v>35000</v>
      </c>
      <c r="E41" s="122">
        <f>+D41/12</f>
        <v>2916.6666666666665</v>
      </c>
    </row>
    <row r="42" spans="1:9" ht="15">
      <c r="A42" s="157" t="s">
        <v>403</v>
      </c>
      <c r="B42" s="158">
        <v>45000</v>
      </c>
      <c r="C42" s="159">
        <v>4</v>
      </c>
      <c r="D42" s="160">
        <f>C42*B42</f>
        <v>180000</v>
      </c>
      <c r="E42" s="161">
        <f>+D42/12</f>
        <v>15000</v>
      </c>
    </row>
    <row r="43" spans="1:9" ht="15.75" thickBot="1">
      <c r="A43" s="162" t="s">
        <v>404</v>
      </c>
      <c r="B43" s="163">
        <v>25000</v>
      </c>
      <c r="C43" s="164">
        <v>10</v>
      </c>
      <c r="D43" s="165">
        <f>C43*B43</f>
        <v>250000</v>
      </c>
      <c r="E43" s="166">
        <f>+D43/12</f>
        <v>20833.333333333332</v>
      </c>
    </row>
    <row r="44" spans="1:9" ht="15.75" thickBot="1">
      <c r="A44" s="137" t="s">
        <v>456</v>
      </c>
      <c r="B44" s="138"/>
      <c r="C44" s="139"/>
      <c r="D44" s="138">
        <f>SUM(D18:D43)</f>
        <v>11754456.296296297</v>
      </c>
      <c r="E44" s="140">
        <f>SUM(E18:E43)</f>
        <v>979538.02469135798</v>
      </c>
    </row>
    <row r="45" spans="1:9" ht="13.5" thickBot="1">
      <c r="A45" s="167"/>
      <c r="B45" s="168"/>
      <c r="C45" s="169"/>
      <c r="D45" s="168"/>
      <c r="E45" s="170"/>
    </row>
    <row r="46" spans="1:9" ht="19.5" thickBot="1">
      <c r="A46" s="171" t="s">
        <v>326</v>
      </c>
      <c r="B46" s="172"/>
      <c r="C46" s="139"/>
      <c r="D46" s="138">
        <f>+D44+D15</f>
        <v>12195964.232804233</v>
      </c>
      <c r="E46" s="140">
        <f>+E44+E15</f>
        <v>1045959.9823633156</v>
      </c>
      <c r="F46" s="173"/>
      <c r="H46" s="174"/>
      <c r="I46" s="174"/>
    </row>
    <row r="47" spans="1:9">
      <c r="B47" s="175"/>
      <c r="C47" s="176"/>
      <c r="D47" s="175"/>
      <c r="E47" s="175"/>
      <c r="F47" s="177"/>
      <c r="H47" s="174"/>
      <c r="I47" s="174"/>
    </row>
    <row r="48" spans="1:9">
      <c r="C48" s="176"/>
      <c r="D48" s="175"/>
      <c r="E48" s="24"/>
      <c r="F48" s="177"/>
      <c r="H48" s="174"/>
      <c r="I48" s="174"/>
    </row>
    <row r="49" spans="1:9">
      <c r="C49" s="176"/>
      <c r="D49" s="175"/>
      <c r="E49" s="24"/>
      <c r="F49" s="177"/>
      <c r="H49" s="174"/>
      <c r="I49" s="174"/>
    </row>
    <row r="50" spans="1:9" ht="13.5" thickBot="1">
      <c r="B50" s="175"/>
      <c r="C50" s="176"/>
      <c r="D50" s="175"/>
      <c r="E50" s="175"/>
    </row>
    <row r="51" spans="1:9" ht="15.75" thickBot="1">
      <c r="A51" s="178"/>
      <c r="B51" s="179" t="s">
        <v>457</v>
      </c>
      <c r="C51" s="180" t="s">
        <v>458</v>
      </c>
      <c r="D51" s="175"/>
      <c r="E51" s="175"/>
    </row>
    <row r="52" spans="1:9">
      <c r="A52" s="181" t="s">
        <v>459</v>
      </c>
      <c r="B52" s="182">
        <v>185313936.66666701</v>
      </c>
      <c r="C52" s="183">
        <v>2223767240</v>
      </c>
      <c r="D52" s="175"/>
      <c r="E52" s="175"/>
    </row>
    <row r="53" spans="1:9" ht="13.5" thickBot="1">
      <c r="A53" s="184" t="s">
        <v>460</v>
      </c>
      <c r="B53" s="185">
        <f>+B60*12*189</f>
        <v>2456479851.5999999</v>
      </c>
      <c r="C53" s="186">
        <v>3402000000</v>
      </c>
      <c r="D53" s="175"/>
      <c r="E53" s="175"/>
    </row>
    <row r="55" spans="1:9" ht="13.5" thickBot="1"/>
    <row r="56" spans="1:9">
      <c r="A56" s="187" t="s">
        <v>461</v>
      </c>
      <c r="B56" s="188">
        <f>+B64</f>
        <v>979538.02469135798</v>
      </c>
    </row>
    <row r="57" spans="1:9">
      <c r="A57" s="189" t="s">
        <v>462</v>
      </c>
      <c r="B57" s="190">
        <f>+B75</f>
        <v>14135.361552028216</v>
      </c>
    </row>
    <row r="58" spans="1:9">
      <c r="A58" s="189" t="s">
        <v>463</v>
      </c>
      <c r="B58" s="190">
        <f>+B57+B56</f>
        <v>993673.38624338619</v>
      </c>
      <c r="E58" s="24"/>
    </row>
    <row r="59" spans="1:9">
      <c r="A59" s="189" t="s">
        <v>464</v>
      </c>
      <c r="B59" s="190">
        <f>+B58*0.09</f>
        <v>89430.60476190476</v>
      </c>
    </row>
    <row r="60" spans="1:9" ht="16.5" thickBot="1">
      <c r="A60" s="191" t="s">
        <v>465</v>
      </c>
      <c r="B60" s="192">
        <f>+B58+B59</f>
        <v>1083103.991005291</v>
      </c>
      <c r="C60" s="24"/>
      <c r="D60" s="24"/>
    </row>
    <row r="64" spans="1:9" s="338" customFormat="1" ht="15">
      <c r="A64" s="336" t="s">
        <v>466</v>
      </c>
      <c r="B64" s="337">
        <f>+E44</f>
        <v>979538.02469135798</v>
      </c>
    </row>
    <row r="65" spans="1:2" s="338" customFormat="1" ht="15">
      <c r="A65" s="336" t="s">
        <v>467</v>
      </c>
      <c r="B65" s="337">
        <f>+E15</f>
        <v>66421.957671957673</v>
      </c>
    </row>
    <row r="66" spans="1:2" s="338" customFormat="1" ht="15">
      <c r="A66" s="339" t="s">
        <v>468</v>
      </c>
      <c r="B66" s="339">
        <v>0.04</v>
      </c>
    </row>
    <row r="67" spans="1:2" s="338" customFormat="1" ht="15">
      <c r="A67" s="339"/>
      <c r="B67" s="340">
        <f>+B66*E46</f>
        <v>41838.399294532624</v>
      </c>
    </row>
    <row r="68" spans="1:2" s="338" customFormat="1" ht="15">
      <c r="A68" s="339" t="s">
        <v>469</v>
      </c>
      <c r="B68" s="340">
        <f>+B67+B65+B64</f>
        <v>1087798.3816578484</v>
      </c>
    </row>
    <row r="69" spans="1:2" s="338" customFormat="1" ht="15">
      <c r="A69" s="339"/>
      <c r="B69" s="339"/>
    </row>
    <row r="70" spans="1:2" s="338" customFormat="1" ht="15">
      <c r="A70" s="339" t="s">
        <v>470</v>
      </c>
      <c r="B70" s="341">
        <f>+'[1]GASTOS ADMON Y VTAS'!E9</f>
        <v>1800000</v>
      </c>
    </row>
    <row r="71" spans="1:2" s="338" customFormat="1" ht="15">
      <c r="A71" s="339" t="s">
        <v>471</v>
      </c>
      <c r="B71" s="341">
        <f>+'[1]GASTOS ADMON Y VTAS'!C32</f>
        <v>397166.66666666669</v>
      </c>
    </row>
    <row r="72" spans="1:2" s="338" customFormat="1" ht="15">
      <c r="A72" s="339" t="s">
        <v>472</v>
      </c>
      <c r="B72" s="341">
        <v>416666.66666666669</v>
      </c>
    </row>
    <row r="73" spans="1:2" s="338" customFormat="1" ht="15">
      <c r="A73" s="339" t="s">
        <v>473</v>
      </c>
      <c r="B73" s="341">
        <f>+'[1]GASTOS ADMON Y VTAS'!D57</f>
        <v>57750</v>
      </c>
    </row>
    <row r="74" spans="1:2" s="338" customFormat="1" ht="15">
      <c r="A74" s="339" t="s">
        <v>474</v>
      </c>
      <c r="B74" s="341">
        <f>SUM(B70:B73)</f>
        <v>2671583.333333333</v>
      </c>
    </row>
    <row r="75" spans="1:2" s="338" customFormat="1" ht="15">
      <c r="A75" s="339" t="s">
        <v>475</v>
      </c>
      <c r="B75" s="341">
        <f>+B74/H5</f>
        <v>14135.361552028216</v>
      </c>
    </row>
    <row r="76" spans="1:2" s="342" customFormat="1"/>
    <row r="77" spans="1:2" s="342" customFormat="1"/>
    <row r="78" spans="1:2" s="342" customFormat="1"/>
    <row r="79" spans="1:2" s="342" customFormat="1"/>
    <row r="80" spans="1:2" s="342" customFormat="1"/>
    <row r="81" s="342" customFormat="1"/>
  </sheetData>
  <mergeCells count="1">
    <mergeCell ref="G14:H1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2:H39"/>
  <sheetViews>
    <sheetView workbookViewId="0">
      <selection activeCell="A26" sqref="A26"/>
    </sheetView>
  </sheetViews>
  <sheetFormatPr baseColWidth="10" defaultRowHeight="12.75"/>
  <cols>
    <col min="1" max="1" width="37" customWidth="1"/>
    <col min="3" max="3" width="11.85546875" bestFit="1" customWidth="1"/>
    <col min="4" max="5" width="17.42578125" bestFit="1" customWidth="1"/>
    <col min="6" max="6" width="17.140625" customWidth="1"/>
  </cols>
  <sheetData>
    <row r="2" spans="1:8" ht="23.25">
      <c r="A2" s="346" t="s">
        <v>374</v>
      </c>
      <c r="B2" s="346"/>
      <c r="C2" s="346"/>
      <c r="D2" s="346"/>
      <c r="E2" s="346"/>
      <c r="F2" s="346"/>
    </row>
    <row r="4" spans="1:8" s="23" customFormat="1" ht="25.5">
      <c r="A4" s="72" t="s">
        <v>375</v>
      </c>
      <c r="B4" s="72" t="s">
        <v>330</v>
      </c>
      <c r="C4" s="73" t="s">
        <v>376</v>
      </c>
      <c r="D4" s="74" t="s">
        <v>377</v>
      </c>
      <c r="E4" s="75" t="s">
        <v>325</v>
      </c>
      <c r="F4" s="75" t="s">
        <v>378</v>
      </c>
    </row>
    <row r="5" spans="1:8">
      <c r="A5" s="76" t="s">
        <v>379</v>
      </c>
      <c r="B5" s="77"/>
      <c r="C5" s="78"/>
      <c r="D5" s="79"/>
      <c r="E5" s="80">
        <f>SUM(D6:D13)</f>
        <v>7260000</v>
      </c>
      <c r="F5" s="80">
        <f>+E5*0.3333</f>
        <v>2419758</v>
      </c>
    </row>
    <row r="6" spans="1:8">
      <c r="A6" s="81" t="s">
        <v>380</v>
      </c>
      <c r="B6" s="82">
        <v>1</v>
      </c>
      <c r="C6" s="83">
        <v>1200000</v>
      </c>
      <c r="D6" s="84">
        <f>B6*C6</f>
        <v>1200000</v>
      </c>
      <c r="E6" s="85"/>
      <c r="F6" s="85"/>
    </row>
    <row r="7" spans="1:8">
      <c r="A7" s="86" t="s">
        <v>381</v>
      </c>
      <c r="B7" s="77">
        <v>3</v>
      </c>
      <c r="C7" s="78">
        <v>200000</v>
      </c>
      <c r="D7" s="79">
        <f>B7*C7</f>
        <v>600000</v>
      </c>
      <c r="E7" s="80"/>
      <c r="F7" s="80"/>
    </row>
    <row r="8" spans="1:8">
      <c r="A8" s="86" t="s">
        <v>382</v>
      </c>
      <c r="B8" s="77">
        <v>3</v>
      </c>
      <c r="C8" s="78">
        <v>350000</v>
      </c>
      <c r="D8" s="79">
        <f t="shared" ref="D8:D33" si="0">B8*C8</f>
        <v>1050000</v>
      </c>
      <c r="E8" s="85"/>
      <c r="F8" s="85"/>
    </row>
    <row r="9" spans="1:8">
      <c r="A9" s="86" t="s">
        <v>383</v>
      </c>
      <c r="B9" s="77">
        <v>3</v>
      </c>
      <c r="C9" s="78">
        <v>80000</v>
      </c>
      <c r="D9" s="79">
        <f t="shared" si="0"/>
        <v>240000</v>
      </c>
      <c r="E9" s="85"/>
      <c r="F9" s="85"/>
      <c r="H9" s="87"/>
    </row>
    <row r="10" spans="1:8">
      <c r="A10" s="86" t="s">
        <v>384</v>
      </c>
      <c r="B10" s="77">
        <v>3</v>
      </c>
      <c r="C10" s="78">
        <v>480000</v>
      </c>
      <c r="D10" s="79">
        <f t="shared" si="0"/>
        <v>1440000</v>
      </c>
      <c r="E10" s="85"/>
      <c r="F10" s="85"/>
    </row>
    <row r="11" spans="1:8">
      <c r="A11" s="86" t="s">
        <v>385</v>
      </c>
      <c r="B11" s="77">
        <v>3</v>
      </c>
      <c r="C11" s="78">
        <v>600000</v>
      </c>
      <c r="D11" s="79">
        <f t="shared" si="0"/>
        <v>1800000</v>
      </c>
      <c r="E11" s="85"/>
      <c r="F11" s="85"/>
    </row>
    <row r="12" spans="1:8">
      <c r="A12" s="88" t="s">
        <v>386</v>
      </c>
      <c r="B12" s="89">
        <v>3</v>
      </c>
      <c r="C12" s="90">
        <v>300000</v>
      </c>
      <c r="D12" s="79">
        <f t="shared" si="0"/>
        <v>900000</v>
      </c>
      <c r="E12" s="85"/>
      <c r="F12" s="85"/>
    </row>
    <row r="13" spans="1:8">
      <c r="A13" s="88" t="s">
        <v>387</v>
      </c>
      <c r="B13" s="89">
        <v>3</v>
      </c>
      <c r="C13" s="90">
        <v>10000</v>
      </c>
      <c r="D13" s="79">
        <f t="shared" si="0"/>
        <v>30000</v>
      </c>
      <c r="E13" s="85"/>
      <c r="F13" s="85"/>
    </row>
    <row r="14" spans="1:8">
      <c r="A14" s="91" t="s">
        <v>388</v>
      </c>
      <c r="B14" s="82"/>
      <c r="C14" s="83"/>
      <c r="D14" s="84"/>
      <c r="E14" s="80">
        <f>SUM(D15:D20)</f>
        <v>5402500</v>
      </c>
      <c r="F14" s="83">
        <f>+E14*0.333</f>
        <v>1799032.5</v>
      </c>
    </row>
    <row r="15" spans="1:8">
      <c r="A15" s="86" t="s">
        <v>389</v>
      </c>
      <c r="B15" s="77">
        <v>3</v>
      </c>
      <c r="C15" s="78">
        <v>1500000</v>
      </c>
      <c r="D15" s="79">
        <f t="shared" ref="D15:D21" si="1">B15*C15</f>
        <v>4500000</v>
      </c>
      <c r="E15" s="85"/>
      <c r="F15" s="85"/>
    </row>
    <row r="16" spans="1:8">
      <c r="A16" s="86" t="s">
        <v>390</v>
      </c>
      <c r="B16" s="77">
        <v>3</v>
      </c>
      <c r="C16" s="78">
        <v>250000</v>
      </c>
      <c r="D16" s="79">
        <f t="shared" si="1"/>
        <v>750000</v>
      </c>
      <c r="E16" s="85"/>
      <c r="F16" s="85"/>
    </row>
    <row r="17" spans="1:6">
      <c r="A17" s="86" t="s">
        <v>391</v>
      </c>
      <c r="B17" s="77">
        <v>2</v>
      </c>
      <c r="C17" s="92">
        <v>50000</v>
      </c>
      <c r="D17" s="79">
        <f t="shared" si="1"/>
        <v>100000</v>
      </c>
      <c r="E17" s="85"/>
      <c r="F17" s="85"/>
    </row>
    <row r="18" spans="1:6">
      <c r="A18" s="93" t="s">
        <v>392</v>
      </c>
      <c r="B18" s="94">
        <v>3</v>
      </c>
      <c r="C18" s="95">
        <v>8000</v>
      </c>
      <c r="D18" s="84">
        <f t="shared" si="1"/>
        <v>24000</v>
      </c>
      <c r="E18" s="85"/>
      <c r="F18" s="85"/>
    </row>
    <row r="19" spans="1:6">
      <c r="A19" s="81" t="s">
        <v>393</v>
      </c>
      <c r="B19" s="82">
        <v>3</v>
      </c>
      <c r="C19" s="83">
        <v>8000</v>
      </c>
      <c r="D19" s="84">
        <f t="shared" si="1"/>
        <v>24000</v>
      </c>
      <c r="E19" s="85"/>
      <c r="F19" s="85"/>
    </row>
    <row r="20" spans="1:6">
      <c r="A20" s="81" t="s">
        <v>394</v>
      </c>
      <c r="B20" s="82">
        <v>3</v>
      </c>
      <c r="C20" s="83">
        <v>1500</v>
      </c>
      <c r="D20" s="84">
        <f t="shared" si="1"/>
        <v>4500</v>
      </c>
      <c r="E20" s="85"/>
      <c r="F20" s="85"/>
    </row>
    <row r="21" spans="1:6">
      <c r="A21" s="81"/>
      <c r="B21" s="82"/>
      <c r="C21" s="83"/>
      <c r="D21" s="84">
        <f t="shared" si="1"/>
        <v>0</v>
      </c>
      <c r="E21" s="85"/>
      <c r="F21" s="85"/>
    </row>
    <row r="22" spans="1:6">
      <c r="A22" s="96" t="s">
        <v>395</v>
      </c>
      <c r="B22" s="75"/>
      <c r="C22" s="97"/>
      <c r="D22" s="98"/>
      <c r="E22" s="99">
        <f>SUM(E5:E18)</f>
        <v>12662500</v>
      </c>
      <c r="F22" s="97">
        <f>SUM(F5:F20)</f>
        <v>4218790.5</v>
      </c>
    </row>
    <row r="23" spans="1:6">
      <c r="A23" s="81"/>
      <c r="B23" s="82"/>
      <c r="C23" s="83"/>
      <c r="D23" s="84">
        <f>B23*C23</f>
        <v>0</v>
      </c>
      <c r="E23" s="85"/>
      <c r="F23" s="85"/>
    </row>
    <row r="24" spans="1:6">
      <c r="A24" s="76" t="s">
        <v>334</v>
      </c>
      <c r="B24" s="77"/>
      <c r="C24" s="77"/>
      <c r="D24" s="79"/>
      <c r="E24" s="80">
        <f>SUM(D25:D33)</f>
        <v>7660000</v>
      </c>
      <c r="F24" s="83">
        <f>+E24*0.2</f>
        <v>1532000</v>
      </c>
    </row>
    <row r="25" spans="1:6">
      <c r="A25" s="86" t="s">
        <v>396</v>
      </c>
      <c r="B25" s="77">
        <v>3</v>
      </c>
      <c r="C25" s="78">
        <v>200000</v>
      </c>
      <c r="D25" s="79">
        <f t="shared" si="0"/>
        <v>600000</v>
      </c>
      <c r="E25" s="85"/>
      <c r="F25" s="85"/>
    </row>
    <row r="26" spans="1:6">
      <c r="A26" s="86" t="s">
        <v>397</v>
      </c>
      <c r="B26" s="77">
        <v>3</v>
      </c>
      <c r="C26" s="78">
        <v>300000</v>
      </c>
      <c r="D26" s="79">
        <f t="shared" si="0"/>
        <v>900000</v>
      </c>
      <c r="E26" s="85"/>
      <c r="F26" s="85"/>
    </row>
    <row r="27" spans="1:6">
      <c r="A27" s="86" t="s">
        <v>398</v>
      </c>
      <c r="B27" s="77">
        <v>9</v>
      </c>
      <c r="C27" s="78">
        <v>300000</v>
      </c>
      <c r="D27" s="79">
        <f t="shared" si="0"/>
        <v>2700000</v>
      </c>
      <c r="E27" s="85"/>
      <c r="F27" s="85"/>
    </row>
    <row r="28" spans="1:6">
      <c r="A28" s="86" t="s">
        <v>399</v>
      </c>
      <c r="B28" s="77">
        <v>3</v>
      </c>
      <c r="C28" s="78">
        <v>60000</v>
      </c>
      <c r="D28" s="79">
        <f t="shared" si="0"/>
        <v>180000</v>
      </c>
      <c r="E28" s="85"/>
      <c r="F28" s="85"/>
    </row>
    <row r="29" spans="1:6">
      <c r="A29" s="86" t="s">
        <v>400</v>
      </c>
      <c r="B29" s="77">
        <v>3</v>
      </c>
      <c r="C29" s="100">
        <v>200000</v>
      </c>
      <c r="D29" s="79">
        <f t="shared" si="0"/>
        <v>600000</v>
      </c>
      <c r="E29" s="85"/>
      <c r="F29" s="85"/>
    </row>
    <row r="30" spans="1:6">
      <c r="A30" s="86" t="s">
        <v>401</v>
      </c>
      <c r="B30" s="77">
        <v>6</v>
      </c>
      <c r="C30" s="78">
        <v>100000</v>
      </c>
      <c r="D30" s="79">
        <f t="shared" si="0"/>
        <v>600000</v>
      </c>
      <c r="E30" s="85"/>
      <c r="F30" s="85"/>
    </row>
    <row r="31" spans="1:6" ht="25.5">
      <c r="A31" s="86" t="s">
        <v>402</v>
      </c>
      <c r="B31" s="77">
        <v>5</v>
      </c>
      <c r="C31" s="78">
        <v>300000</v>
      </c>
      <c r="D31" s="79">
        <f t="shared" si="0"/>
        <v>1500000</v>
      </c>
      <c r="E31" s="85"/>
      <c r="F31" s="85"/>
    </row>
    <row r="32" spans="1:6">
      <c r="A32" s="86" t="s">
        <v>403</v>
      </c>
      <c r="B32" s="77">
        <v>4</v>
      </c>
      <c r="C32" s="78">
        <v>45000</v>
      </c>
      <c r="D32" s="79">
        <f t="shared" si="0"/>
        <v>180000</v>
      </c>
      <c r="E32" s="85"/>
      <c r="F32" s="85"/>
    </row>
    <row r="33" spans="1:7">
      <c r="A33" s="86" t="s">
        <v>404</v>
      </c>
      <c r="B33" s="77">
        <v>16</v>
      </c>
      <c r="C33" s="78">
        <v>25000</v>
      </c>
      <c r="D33" s="79">
        <f t="shared" si="0"/>
        <v>400000</v>
      </c>
      <c r="E33" s="85"/>
      <c r="F33" s="85"/>
    </row>
    <row r="34" spans="1:7">
      <c r="A34" s="86"/>
      <c r="B34" s="77"/>
      <c r="C34" s="78"/>
      <c r="D34" s="79"/>
      <c r="E34" s="85"/>
      <c r="F34" s="85"/>
    </row>
    <row r="35" spans="1:7">
      <c r="A35" s="86" t="s">
        <v>405</v>
      </c>
      <c r="B35" s="77">
        <v>1</v>
      </c>
      <c r="C35" s="78"/>
      <c r="D35" s="79">
        <v>100000000</v>
      </c>
      <c r="E35" s="80">
        <v>100000000</v>
      </c>
      <c r="F35" s="83">
        <f>+D35*0.33/5</f>
        <v>6600000</v>
      </c>
    </row>
    <row r="36" spans="1:7">
      <c r="A36" s="86"/>
      <c r="B36" s="77"/>
      <c r="C36" s="78"/>
      <c r="D36" s="79"/>
      <c r="E36" s="85"/>
      <c r="F36" s="85"/>
    </row>
    <row r="37" spans="1:7">
      <c r="A37" s="347" t="s">
        <v>406</v>
      </c>
      <c r="B37" s="348"/>
      <c r="C37" s="349"/>
      <c r="D37" s="98">
        <f>SUM(D5:D36)</f>
        <v>120322500</v>
      </c>
      <c r="E37" s="101">
        <f>SUM(E22:E36)</f>
        <v>120322500</v>
      </c>
      <c r="F37" s="101">
        <f>SUM(F35:F36)</f>
        <v>6600000</v>
      </c>
    </row>
    <row r="38" spans="1:7">
      <c r="F38" s="102"/>
    </row>
    <row r="39" spans="1:7">
      <c r="F39" s="103">
        <f>+F37/12</f>
        <v>550000</v>
      </c>
      <c r="G39" t="s">
        <v>345</v>
      </c>
    </row>
  </sheetData>
  <mergeCells count="2">
    <mergeCell ref="A2:F2"/>
    <mergeCell ref="A37:C37"/>
  </mergeCell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3:F57"/>
  <sheetViews>
    <sheetView workbookViewId="0">
      <selection activeCell="D6" sqref="D6"/>
    </sheetView>
  </sheetViews>
  <sheetFormatPr baseColWidth="10" defaultColWidth="19.7109375" defaultRowHeight="12.75"/>
  <cols>
    <col min="1" max="1" width="30.7109375" customWidth="1"/>
    <col min="2" max="2" width="19.7109375" customWidth="1"/>
    <col min="3" max="3" width="24.28515625" customWidth="1"/>
  </cols>
  <sheetData>
    <row r="3" spans="1:6" ht="24">
      <c r="A3" s="193" t="s">
        <v>476</v>
      </c>
      <c r="B3" s="193" t="s">
        <v>477</v>
      </c>
      <c r="C3" s="194" t="s">
        <v>478</v>
      </c>
      <c r="D3" s="195" t="s">
        <v>479</v>
      </c>
      <c r="E3" s="195" t="s">
        <v>480</v>
      </c>
      <c r="F3" s="195" t="s">
        <v>481</v>
      </c>
    </row>
    <row r="4" spans="1:6">
      <c r="A4" s="196" t="s">
        <v>482</v>
      </c>
      <c r="B4" s="197">
        <v>1</v>
      </c>
      <c r="C4" s="198" t="s">
        <v>483</v>
      </c>
      <c r="D4" s="199">
        <v>600000</v>
      </c>
      <c r="E4" s="200">
        <f>B4*D4</f>
        <v>600000</v>
      </c>
      <c r="F4" s="200">
        <f>E4*12</f>
        <v>7200000</v>
      </c>
    </row>
    <row r="5" spans="1:6" ht="25.5">
      <c r="A5" s="196" t="s">
        <v>484</v>
      </c>
      <c r="B5" s="197">
        <v>1</v>
      </c>
      <c r="C5" s="198" t="s">
        <v>485</v>
      </c>
      <c r="D5" s="199">
        <v>200000</v>
      </c>
      <c r="E5" s="200">
        <f>B5*D5</f>
        <v>200000</v>
      </c>
      <c r="F5" s="200">
        <f>E5*12</f>
        <v>2400000</v>
      </c>
    </row>
    <row r="6" spans="1:6">
      <c r="A6" s="196" t="s">
        <v>486</v>
      </c>
      <c r="B6" s="197">
        <v>1</v>
      </c>
      <c r="C6" s="198" t="s">
        <v>487</v>
      </c>
      <c r="D6" s="199">
        <v>700000</v>
      </c>
      <c r="E6" s="200">
        <f>+D6</f>
        <v>700000</v>
      </c>
      <c r="F6" s="200">
        <f>E6*12</f>
        <v>8400000</v>
      </c>
    </row>
    <row r="7" spans="1:6">
      <c r="A7" s="196" t="s">
        <v>488</v>
      </c>
      <c r="B7" s="197">
        <v>1</v>
      </c>
      <c r="C7" s="198" t="s">
        <v>487</v>
      </c>
      <c r="D7" s="199">
        <v>300000</v>
      </c>
      <c r="E7" s="200">
        <f>B7*D7</f>
        <v>300000</v>
      </c>
      <c r="F7" s="200">
        <f>E7*12</f>
        <v>3600000</v>
      </c>
    </row>
    <row r="8" spans="1:6">
      <c r="A8" s="196"/>
      <c r="B8" s="197"/>
      <c r="C8" s="198"/>
      <c r="D8" s="199"/>
      <c r="E8" s="200">
        <f>B8*D8</f>
        <v>0</v>
      </c>
      <c r="F8" s="200">
        <f>E8*12</f>
        <v>0</v>
      </c>
    </row>
    <row r="9" spans="1:6" ht="15.75">
      <c r="A9" s="350" t="s">
        <v>489</v>
      </c>
      <c r="B9" s="351"/>
      <c r="C9" s="351"/>
      <c r="D9" s="352"/>
      <c r="E9" s="201">
        <f>SUM(E4:E8)</f>
        <v>1800000</v>
      </c>
      <c r="F9" s="201">
        <f>SUM(F4:F8)</f>
        <v>21600000</v>
      </c>
    </row>
    <row r="12" spans="1:6" ht="15.75">
      <c r="A12" s="353" t="s">
        <v>490</v>
      </c>
      <c r="B12" s="353"/>
      <c r="C12" s="353"/>
      <c r="D12" s="202"/>
    </row>
    <row r="13" spans="1:6">
      <c r="A13" s="203"/>
      <c r="B13" s="203"/>
      <c r="C13" s="204"/>
      <c r="D13" s="203"/>
    </row>
    <row r="14" spans="1:6">
      <c r="A14" s="350" t="s">
        <v>329</v>
      </c>
      <c r="B14" s="352"/>
      <c r="C14" s="205" t="s">
        <v>491</v>
      </c>
      <c r="D14" s="205" t="s">
        <v>492</v>
      </c>
    </row>
    <row r="15" spans="1:6">
      <c r="A15" s="354" t="s">
        <v>471</v>
      </c>
      <c r="B15" s="355"/>
      <c r="C15" s="206"/>
      <c r="D15" s="207">
        <f>C15*12</f>
        <v>0</v>
      </c>
    </row>
    <row r="16" spans="1:6">
      <c r="A16" s="356" t="s">
        <v>493</v>
      </c>
      <c r="B16" s="357"/>
      <c r="C16" s="208"/>
      <c r="D16" s="209">
        <f t="shared" ref="D16:D29" si="0">C16*12</f>
        <v>0</v>
      </c>
      <c r="F16" s="87"/>
    </row>
    <row r="17" spans="1:6">
      <c r="A17" s="356" t="s">
        <v>494</v>
      </c>
      <c r="B17" s="357"/>
      <c r="C17" s="208"/>
      <c r="D17" s="209">
        <v>700000</v>
      </c>
      <c r="F17" s="210"/>
    </row>
    <row r="18" spans="1:6">
      <c r="A18" s="356" t="s">
        <v>495</v>
      </c>
      <c r="B18" s="357"/>
      <c r="C18" s="208">
        <v>58000</v>
      </c>
      <c r="D18" s="209">
        <v>600000</v>
      </c>
    </row>
    <row r="19" spans="1:6">
      <c r="A19" s="356" t="s">
        <v>496</v>
      </c>
      <c r="B19" s="357"/>
      <c r="C19" s="208">
        <v>40000</v>
      </c>
      <c r="D19" s="209">
        <f t="shared" si="0"/>
        <v>480000</v>
      </c>
    </row>
    <row r="20" spans="1:6">
      <c r="A20" s="356" t="s">
        <v>497</v>
      </c>
      <c r="B20" s="357"/>
      <c r="C20" s="208"/>
      <c r="D20" s="209">
        <f t="shared" si="0"/>
        <v>0</v>
      </c>
    </row>
    <row r="21" spans="1:6">
      <c r="A21" s="356" t="s">
        <v>498</v>
      </c>
      <c r="B21" s="357"/>
      <c r="C21" s="208">
        <f>+D21/12</f>
        <v>29166.666666666668</v>
      </c>
      <c r="D21" s="209">
        <v>350000</v>
      </c>
    </row>
    <row r="22" spans="1:6">
      <c r="A22" s="356" t="s">
        <v>499</v>
      </c>
      <c r="B22" s="357"/>
      <c r="C22" s="208"/>
      <c r="D22" s="209">
        <f t="shared" si="0"/>
        <v>0</v>
      </c>
    </row>
    <row r="23" spans="1:6">
      <c r="A23" s="356" t="s">
        <v>331</v>
      </c>
      <c r="B23" s="357"/>
      <c r="C23" s="208"/>
      <c r="D23" s="209">
        <f t="shared" si="0"/>
        <v>0</v>
      </c>
    </row>
    <row r="24" spans="1:6">
      <c r="A24" s="356" t="s">
        <v>500</v>
      </c>
      <c r="B24" s="357"/>
      <c r="C24" s="208"/>
      <c r="D24" s="209">
        <f t="shared" si="0"/>
        <v>0</v>
      </c>
    </row>
    <row r="25" spans="1:6">
      <c r="A25" s="211" t="s">
        <v>501</v>
      </c>
      <c r="B25" s="212">
        <v>70000</v>
      </c>
      <c r="C25" s="208">
        <f>+B25</f>
        <v>70000</v>
      </c>
      <c r="D25" s="209">
        <f t="shared" si="0"/>
        <v>840000</v>
      </c>
    </row>
    <row r="26" spans="1:6">
      <c r="A26" s="211" t="s">
        <v>502</v>
      </c>
      <c r="B26" s="212"/>
      <c r="C26" s="208">
        <f>+B26</f>
        <v>0</v>
      </c>
      <c r="D26" s="209">
        <f t="shared" si="0"/>
        <v>0</v>
      </c>
      <c r="F26" s="210"/>
    </row>
    <row r="27" spans="1:6">
      <c r="A27" s="211" t="s">
        <v>503</v>
      </c>
      <c r="B27" s="212">
        <v>32000</v>
      </c>
      <c r="C27" s="208">
        <v>50000</v>
      </c>
      <c r="D27" s="209">
        <f t="shared" si="0"/>
        <v>600000</v>
      </c>
    </row>
    <row r="28" spans="1:6">
      <c r="A28" s="211" t="s">
        <v>504</v>
      </c>
      <c r="B28" s="212">
        <v>70000</v>
      </c>
      <c r="C28" s="208">
        <v>150000</v>
      </c>
      <c r="D28" s="209">
        <f t="shared" si="0"/>
        <v>1800000</v>
      </c>
    </row>
    <row r="29" spans="1:6">
      <c r="A29" s="211" t="s">
        <v>505</v>
      </c>
      <c r="B29" s="212"/>
      <c r="C29" s="208"/>
      <c r="D29" s="209">
        <f t="shared" si="0"/>
        <v>0</v>
      </c>
    </row>
    <row r="30" spans="1:6">
      <c r="A30" s="213"/>
      <c r="B30" s="214"/>
      <c r="C30" s="208"/>
      <c r="D30" s="209"/>
    </row>
    <row r="31" spans="1:6">
      <c r="A31" s="356" t="s">
        <v>506</v>
      </c>
      <c r="B31" s="357"/>
      <c r="C31" s="208">
        <f>+D31/12</f>
        <v>416666.66666666669</v>
      </c>
      <c r="D31" s="209">
        <v>5000000</v>
      </c>
    </row>
    <row r="32" spans="1:6" ht="15.75">
      <c r="A32" s="350" t="s">
        <v>507</v>
      </c>
      <c r="B32" s="352"/>
      <c r="C32" s="215">
        <f>SUM(C18:C29)</f>
        <v>397166.66666666669</v>
      </c>
      <c r="D32" s="215">
        <f>SUM(D15:D31)</f>
        <v>10370000</v>
      </c>
      <c r="F32" s="87"/>
    </row>
    <row r="33" spans="1:6">
      <c r="A33" s="354" t="s">
        <v>508</v>
      </c>
      <c r="B33" s="355"/>
      <c r="C33" s="206"/>
      <c r="D33" s="207">
        <f>+D38</f>
        <v>5000000</v>
      </c>
    </row>
    <row r="34" spans="1:6">
      <c r="A34" s="356" t="s">
        <v>509</v>
      </c>
      <c r="B34" s="357"/>
      <c r="C34" s="206"/>
      <c r="D34" s="207">
        <f>C34*12</f>
        <v>0</v>
      </c>
    </row>
    <row r="35" spans="1:6">
      <c r="A35" s="356" t="s">
        <v>510</v>
      </c>
      <c r="B35" s="357"/>
      <c r="C35" s="206"/>
      <c r="D35" s="207">
        <f>C35*12</f>
        <v>0</v>
      </c>
      <c r="F35" s="24"/>
    </row>
    <row r="36" spans="1:6">
      <c r="A36" s="356" t="s">
        <v>511</v>
      </c>
      <c r="B36" s="357"/>
      <c r="C36" s="206"/>
      <c r="D36" s="207">
        <f>C36*12</f>
        <v>0</v>
      </c>
    </row>
    <row r="37" spans="1:6">
      <c r="A37" s="356"/>
      <c r="B37" s="357"/>
      <c r="C37" s="206"/>
      <c r="D37" s="207">
        <f>C37*12</f>
        <v>0</v>
      </c>
    </row>
    <row r="38" spans="1:6">
      <c r="A38" s="356" t="s">
        <v>512</v>
      </c>
      <c r="B38" s="357"/>
      <c r="C38" s="208">
        <f>+D38/12</f>
        <v>416666.66666666669</v>
      </c>
      <c r="D38" s="207">
        <v>5000000</v>
      </c>
    </row>
    <row r="39" spans="1:6" ht="15.75">
      <c r="A39" s="350" t="s">
        <v>513</v>
      </c>
      <c r="B39" s="352"/>
      <c r="C39" s="215">
        <f>+C38+C32</f>
        <v>813833.33333333337</v>
      </c>
      <c r="D39" s="215">
        <f>+D38+D32</f>
        <v>15370000</v>
      </c>
    </row>
    <row r="40" spans="1:6">
      <c r="F40" s="216"/>
    </row>
    <row r="43" spans="1:6" ht="15.75">
      <c r="A43" s="360" t="s">
        <v>514</v>
      </c>
      <c r="B43" s="360"/>
      <c r="C43" s="360"/>
      <c r="D43" s="360"/>
    </row>
    <row r="44" spans="1:6" ht="15">
      <c r="A44" s="361" t="s">
        <v>53</v>
      </c>
      <c r="B44" s="361"/>
      <c r="C44" s="361"/>
      <c r="D44" s="361"/>
    </row>
    <row r="45" spans="1:6" ht="13.5" thickBot="1"/>
    <row r="46" spans="1:6" ht="15.75" thickBot="1">
      <c r="A46" s="217" t="s">
        <v>515</v>
      </c>
      <c r="B46" s="218" t="s">
        <v>328</v>
      </c>
      <c r="C46" s="218" t="s">
        <v>376</v>
      </c>
      <c r="D46" s="219" t="s">
        <v>516</v>
      </c>
    </row>
    <row r="47" spans="1:6">
      <c r="A47" s="220" t="s">
        <v>517</v>
      </c>
      <c r="B47" s="221">
        <v>20</v>
      </c>
      <c r="C47" s="222">
        <v>17000</v>
      </c>
      <c r="D47" s="223">
        <f>+C47*B47</f>
        <v>340000</v>
      </c>
    </row>
    <row r="48" spans="1:6">
      <c r="A48" s="224" t="s">
        <v>518</v>
      </c>
      <c r="B48" s="225">
        <v>22</v>
      </c>
      <c r="C48" s="226">
        <v>1000</v>
      </c>
      <c r="D48" s="223">
        <f t="shared" ref="D48:D54" si="1">+C48*B48</f>
        <v>22000</v>
      </c>
    </row>
    <row r="49" spans="1:4">
      <c r="A49" s="224" t="s">
        <v>519</v>
      </c>
      <c r="B49" s="225">
        <v>22</v>
      </c>
      <c r="C49" s="226">
        <v>1000</v>
      </c>
      <c r="D49" s="223">
        <f t="shared" si="1"/>
        <v>22000</v>
      </c>
    </row>
    <row r="50" spans="1:4">
      <c r="A50" s="224" t="s">
        <v>520</v>
      </c>
      <c r="B50" s="225">
        <v>22</v>
      </c>
      <c r="C50" s="226">
        <v>500</v>
      </c>
      <c r="D50" s="223">
        <f t="shared" si="1"/>
        <v>11000</v>
      </c>
    </row>
    <row r="51" spans="1:4">
      <c r="A51" s="224" t="s">
        <v>521</v>
      </c>
      <c r="B51" s="225">
        <v>12</v>
      </c>
      <c r="C51" s="226">
        <v>5000</v>
      </c>
      <c r="D51" s="223">
        <f t="shared" si="1"/>
        <v>60000</v>
      </c>
    </row>
    <row r="52" spans="1:4">
      <c r="A52" s="224" t="s">
        <v>522</v>
      </c>
      <c r="B52" s="225">
        <v>22</v>
      </c>
      <c r="C52" s="226">
        <v>1500</v>
      </c>
      <c r="D52" s="223">
        <f t="shared" si="1"/>
        <v>33000</v>
      </c>
    </row>
    <row r="53" spans="1:4">
      <c r="A53" s="227" t="s">
        <v>523</v>
      </c>
      <c r="B53" s="228">
        <v>500</v>
      </c>
      <c r="C53" s="229">
        <v>250</v>
      </c>
      <c r="D53" s="223">
        <f t="shared" si="1"/>
        <v>125000</v>
      </c>
    </row>
    <row r="54" spans="1:4">
      <c r="A54" s="227" t="s">
        <v>524</v>
      </c>
      <c r="B54" s="228">
        <v>25</v>
      </c>
      <c r="C54" s="229">
        <v>3200</v>
      </c>
      <c r="D54" s="223">
        <f t="shared" si="1"/>
        <v>80000</v>
      </c>
    </row>
    <row r="55" spans="1:4" ht="15.75" thickBot="1">
      <c r="A55" s="227" t="s">
        <v>327</v>
      </c>
      <c r="B55" s="228"/>
      <c r="C55" s="230"/>
      <c r="D55" s="231"/>
    </row>
    <row r="56" spans="1:4" ht="15.75" thickBot="1">
      <c r="A56" s="358" t="s">
        <v>525</v>
      </c>
      <c r="B56" s="359"/>
      <c r="C56" s="232"/>
      <c r="D56" s="233">
        <f>SUM(D47:D55)</f>
        <v>693000</v>
      </c>
    </row>
    <row r="57" spans="1:4" ht="15.75" thickBot="1">
      <c r="B57" s="234" t="s">
        <v>526</v>
      </c>
      <c r="C57" s="235"/>
      <c r="D57" s="236">
        <f>+D56/12</f>
        <v>57750</v>
      </c>
    </row>
  </sheetData>
  <mergeCells count="25">
    <mergeCell ref="A56:B56"/>
    <mergeCell ref="A36:B36"/>
    <mergeCell ref="A37:B37"/>
    <mergeCell ref="A38:B38"/>
    <mergeCell ref="A39:B39"/>
    <mergeCell ref="A43:D43"/>
    <mergeCell ref="A44:D44"/>
    <mergeCell ref="A24:B24"/>
    <mergeCell ref="A31:B31"/>
    <mergeCell ref="A32:B32"/>
    <mergeCell ref="A33:B33"/>
    <mergeCell ref="A34:B34"/>
    <mergeCell ref="A35:B35"/>
    <mergeCell ref="A18:B18"/>
    <mergeCell ref="A19:B19"/>
    <mergeCell ref="A20:B20"/>
    <mergeCell ref="A21:B21"/>
    <mergeCell ref="A22:B22"/>
    <mergeCell ref="A23:B23"/>
    <mergeCell ref="A9:D9"/>
    <mergeCell ref="A12:C12"/>
    <mergeCell ref="A14:B14"/>
    <mergeCell ref="A15:B15"/>
    <mergeCell ref="A16:B16"/>
    <mergeCell ref="A17:B17"/>
  </mergeCells>
  <pageMargins left="0.7" right="0.7" top="0.75" bottom="0.75" header="0.3" footer="0.3"/>
</worksheet>
</file>

<file path=xl/worksheets/sheet4.xml><?xml version="1.0" encoding="utf-8"?>
<worksheet xmlns="http://schemas.openxmlformats.org/spreadsheetml/2006/main" xmlns:r="http://schemas.openxmlformats.org/officeDocument/2006/relationships">
  <sheetPr transitionEvaluation="1" transitionEntry="1"/>
  <dimension ref="A1:H94"/>
  <sheetViews>
    <sheetView showGridLines="0" zoomScale="75"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RowHeight="15"/>
  <cols>
    <col min="1" max="1" width="59" style="1" bestFit="1" customWidth="1"/>
    <col min="2" max="2" width="11.42578125" style="1"/>
    <col min="3" max="3" width="16.5703125" style="1" bestFit="1" customWidth="1"/>
    <col min="4" max="4" width="14.42578125" style="1" bestFit="1" customWidth="1"/>
    <col min="5" max="5" width="14.7109375" style="1" customWidth="1"/>
    <col min="6" max="6" width="15.85546875" style="1" customWidth="1"/>
    <col min="7" max="7" width="14.7109375" style="1" customWidth="1"/>
    <col min="8" max="8" width="17.85546875" style="1" customWidth="1"/>
    <col min="9" max="16384" width="11.42578125" style="1"/>
  </cols>
  <sheetData>
    <row r="1" spans="1:8" ht="15.75">
      <c r="A1" s="2" t="s">
        <v>0</v>
      </c>
      <c r="B1" s="1" t="s">
        <v>53</v>
      </c>
      <c r="C1" s="1" t="s">
        <v>527</v>
      </c>
      <c r="D1" s="1">
        <v>1</v>
      </c>
      <c r="E1" s="1">
        <v>2</v>
      </c>
      <c r="F1" s="1">
        <v>3</v>
      </c>
      <c r="G1" s="1">
        <v>4</v>
      </c>
      <c r="H1" s="1">
        <v>5</v>
      </c>
    </row>
    <row r="2" spans="1:8">
      <c r="A2" s="5" t="s">
        <v>54</v>
      </c>
    </row>
    <row r="3" spans="1:8">
      <c r="A3" s="1" t="s">
        <v>4</v>
      </c>
      <c r="B3" s="21">
        <v>5</v>
      </c>
    </row>
    <row r="4" spans="1:8">
      <c r="A4" s="1" t="s">
        <v>5</v>
      </c>
      <c r="B4" s="21">
        <f>Costos!I5</f>
        <v>2268</v>
      </c>
    </row>
    <row r="5" spans="1:8">
      <c r="A5" s="1" t="s">
        <v>6</v>
      </c>
      <c r="D5" s="20">
        <v>1</v>
      </c>
      <c r="E5" s="20">
        <v>1</v>
      </c>
      <c r="F5" s="20">
        <v>1</v>
      </c>
      <c r="G5" s="20">
        <v>1</v>
      </c>
      <c r="H5" s="20">
        <v>1</v>
      </c>
    </row>
    <row r="6" spans="1:8">
      <c r="A6" s="1" t="s">
        <v>365</v>
      </c>
      <c r="C6" s="4"/>
      <c r="D6" s="244">
        <f>Costos!B60</f>
        <v>1083103.991005291</v>
      </c>
      <c r="E6" s="244">
        <f>D6*$D$65</f>
        <v>1087977.9589648147</v>
      </c>
      <c r="F6" s="244">
        <f>E6*$D$65</f>
        <v>1092873.8597801563</v>
      </c>
      <c r="G6" s="244">
        <f>F6*$D$65</f>
        <v>1097791.792149167</v>
      </c>
      <c r="H6" s="244">
        <f>G6*$D$65</f>
        <v>1102731.8552138382</v>
      </c>
    </row>
    <row r="7" spans="1:8">
      <c r="A7" s="1" t="s">
        <v>7</v>
      </c>
      <c r="C7" s="4"/>
      <c r="D7" s="38"/>
      <c r="E7" s="38"/>
      <c r="F7" s="38"/>
      <c r="G7" s="38"/>
      <c r="H7" s="38"/>
    </row>
    <row r="8" spans="1:8">
      <c r="A8" s="1" t="s">
        <v>8</v>
      </c>
      <c r="C8" s="4"/>
      <c r="D8" s="38"/>
      <c r="E8" s="38"/>
      <c r="F8" s="38"/>
      <c r="G8" s="38"/>
      <c r="H8" s="38"/>
    </row>
    <row r="9" spans="1:8">
      <c r="A9" s="1" t="s">
        <v>9</v>
      </c>
      <c r="C9" s="21"/>
      <c r="D9" s="4"/>
      <c r="E9" s="4"/>
      <c r="F9" s="4"/>
      <c r="G9" s="4"/>
      <c r="H9" s="4"/>
    </row>
    <row r="10" spans="1:8">
      <c r="A10" s="1" t="s">
        <v>10</v>
      </c>
      <c r="C10" s="21">
        <v>100000000</v>
      </c>
      <c r="D10" s="4"/>
      <c r="E10" s="4"/>
      <c r="F10" s="4"/>
      <c r="G10" s="4"/>
      <c r="H10" s="4"/>
    </row>
    <row r="11" spans="1:8">
      <c r="A11" s="1" t="s">
        <v>11</v>
      </c>
      <c r="B11" s="19">
        <v>10</v>
      </c>
      <c r="C11" s="4"/>
      <c r="D11" s="4"/>
      <c r="E11" s="4"/>
      <c r="F11" s="4"/>
      <c r="G11" s="4"/>
      <c r="H11" s="4"/>
    </row>
    <row r="12" spans="1:8">
      <c r="A12" s="1" t="s">
        <v>12</v>
      </c>
      <c r="C12" s="21">
        <f>Inversion!E5</f>
        <v>7260000</v>
      </c>
      <c r="D12" s="4"/>
      <c r="E12" s="4"/>
      <c r="F12" s="4"/>
      <c r="G12" s="4"/>
      <c r="H12" s="4"/>
    </row>
    <row r="13" spans="1:8">
      <c r="A13" s="1" t="s">
        <v>11</v>
      </c>
      <c r="B13" s="19">
        <v>10</v>
      </c>
      <c r="C13" s="69"/>
      <c r="D13" s="4"/>
      <c r="E13" s="4"/>
      <c r="F13" s="4"/>
      <c r="G13" s="4"/>
      <c r="H13" s="4"/>
    </row>
    <row r="14" spans="1:8">
      <c r="A14" s="1" t="s">
        <v>364</v>
      </c>
      <c r="C14" s="21">
        <f>Inversion!E14</f>
        <v>5402500</v>
      </c>
      <c r="D14" s="4"/>
      <c r="E14" s="4"/>
      <c r="F14" s="4"/>
      <c r="G14" s="4"/>
      <c r="H14" s="4"/>
    </row>
    <row r="15" spans="1:8">
      <c r="A15" s="1" t="s">
        <v>11</v>
      </c>
      <c r="B15" s="19">
        <v>10</v>
      </c>
      <c r="C15" s="69"/>
      <c r="D15" s="4"/>
      <c r="E15" s="4"/>
      <c r="F15" s="4"/>
      <c r="G15" s="4"/>
      <c r="H15" s="4"/>
    </row>
    <row r="16" spans="1:8">
      <c r="A16" s="1" t="s">
        <v>13</v>
      </c>
      <c r="C16" s="21">
        <f>Inversion!E24</f>
        <v>7660000</v>
      </c>
      <c r="D16" s="4"/>
      <c r="E16" s="4"/>
      <c r="F16" s="4"/>
      <c r="G16" s="4"/>
      <c r="H16" s="4"/>
    </row>
    <row r="17" spans="1:8">
      <c r="A17" s="1" t="s">
        <v>11</v>
      </c>
      <c r="B17" s="19">
        <v>10</v>
      </c>
      <c r="C17" s="4"/>
      <c r="D17" s="4"/>
      <c r="E17" s="4"/>
      <c r="F17" s="4"/>
      <c r="G17" s="4"/>
      <c r="H17" s="4"/>
    </row>
    <row r="18" spans="1:8">
      <c r="A18" s="1" t="s">
        <v>14</v>
      </c>
      <c r="C18" s="4">
        <v>0</v>
      </c>
      <c r="D18" s="4"/>
      <c r="E18" s="4"/>
      <c r="F18" s="4"/>
      <c r="G18" s="4"/>
      <c r="H18" s="4"/>
    </row>
    <row r="19" spans="1:8">
      <c r="A19" s="1" t="s">
        <v>11</v>
      </c>
      <c r="B19" s="19">
        <v>10</v>
      </c>
      <c r="C19" s="4"/>
      <c r="D19" s="4"/>
      <c r="E19" s="4"/>
      <c r="F19" s="4"/>
      <c r="G19" s="4"/>
      <c r="H19" s="4"/>
    </row>
    <row r="20" spans="1:8">
      <c r="A20" s="1" t="s">
        <v>15</v>
      </c>
      <c r="C20" s="4"/>
      <c r="D20" s="4"/>
      <c r="E20" s="4"/>
      <c r="F20" s="4"/>
      <c r="G20" s="4"/>
      <c r="H20" s="4"/>
    </row>
    <row r="21" spans="1:8">
      <c r="A21" s="1" t="s">
        <v>16</v>
      </c>
      <c r="C21" s="4"/>
      <c r="D21" s="4"/>
      <c r="E21" s="4"/>
      <c r="F21" s="4"/>
      <c r="G21" s="4"/>
      <c r="H21" s="4"/>
    </row>
    <row r="22" spans="1:8">
      <c r="A22" s="1" t="s">
        <v>17</v>
      </c>
      <c r="B22" s="19">
        <v>5</v>
      </c>
      <c r="C22" s="21">
        <v>0</v>
      </c>
      <c r="D22" s="4"/>
      <c r="E22" s="4"/>
      <c r="F22" s="4"/>
      <c r="G22" s="4"/>
      <c r="H22" s="4"/>
    </row>
    <row r="23" spans="1:8">
      <c r="A23" s="1" t="s">
        <v>18</v>
      </c>
      <c r="C23" s="4"/>
      <c r="D23" s="4"/>
      <c r="E23" s="4"/>
      <c r="F23" s="4"/>
      <c r="G23" s="4"/>
      <c r="H23" s="4"/>
    </row>
    <row r="24" spans="1:8">
      <c r="A24" s="1" t="s">
        <v>19</v>
      </c>
      <c r="C24" s="4"/>
      <c r="D24" s="4"/>
      <c r="E24" s="4"/>
      <c r="F24" s="4"/>
      <c r="G24" s="4"/>
      <c r="H24" s="4"/>
    </row>
    <row r="25" spans="1:8">
      <c r="A25" s="1" t="s">
        <v>529</v>
      </c>
      <c r="C25" s="4"/>
      <c r="D25" s="21">
        <f>Costos!E44</f>
        <v>979538.02469135798</v>
      </c>
      <c r="E25" s="21">
        <f>D25*$D$65</f>
        <v>983945.94580246904</v>
      </c>
      <c r="F25" s="21">
        <f>E25*$D$65</f>
        <v>988373.70255858009</v>
      </c>
      <c r="G25" s="21">
        <f>F25*$D$65</f>
        <v>992821.38422009361</v>
      </c>
      <c r="H25" s="21">
        <f>G25*$D$65</f>
        <v>997289.08044908394</v>
      </c>
    </row>
    <row r="26" spans="1:8">
      <c r="A26" s="1" t="s">
        <v>530</v>
      </c>
      <c r="C26" s="4"/>
      <c r="D26" s="21">
        <f>Costos!G10/Costos!I5</f>
        <v>32275.132275132277</v>
      </c>
      <c r="E26" s="21">
        <f>D26*D65</f>
        <v>32420.370370370369</v>
      </c>
      <c r="F26" s="21">
        <f>E26*$D$65</f>
        <v>32566.262037037035</v>
      </c>
      <c r="G26" s="21">
        <f>F26*$D$65</f>
        <v>32712.810216203699</v>
      </c>
      <c r="H26" s="21">
        <f>G26*$D$65</f>
        <v>32860.017862176617</v>
      </c>
    </row>
    <row r="27" spans="1:8">
      <c r="A27" s="1" t="s">
        <v>20</v>
      </c>
      <c r="C27" s="4"/>
      <c r="D27" s="21"/>
      <c r="E27" s="21"/>
      <c r="F27" s="21"/>
      <c r="G27" s="21"/>
      <c r="H27" s="21"/>
    </row>
    <row r="28" spans="1:8">
      <c r="A28" s="1" t="s">
        <v>21</v>
      </c>
      <c r="C28" s="4"/>
      <c r="D28" s="21">
        <f>person.!F9+person.!D32-person.!D38</f>
        <v>26970000</v>
      </c>
      <c r="E28" s="21">
        <f t="shared" ref="E28:H29" si="0">D28*$D$65</f>
        <v>27091365</v>
      </c>
      <c r="F28" s="21">
        <f t="shared" si="0"/>
        <v>27213276.142499998</v>
      </c>
      <c r="G28" s="21">
        <f t="shared" si="0"/>
        <v>27335735.885141246</v>
      </c>
      <c r="H28" s="21">
        <f t="shared" si="0"/>
        <v>27458746.69662438</v>
      </c>
    </row>
    <row r="29" spans="1:8">
      <c r="A29" s="1" t="s">
        <v>22</v>
      </c>
      <c r="C29" s="4"/>
      <c r="D29" s="21">
        <f>person.!D38</f>
        <v>5000000</v>
      </c>
      <c r="E29" s="21">
        <f t="shared" si="0"/>
        <v>5022500</v>
      </c>
      <c r="F29" s="21">
        <f t="shared" si="0"/>
        <v>5045101.25</v>
      </c>
      <c r="G29" s="21">
        <f t="shared" si="0"/>
        <v>5067804.2056249995</v>
      </c>
      <c r="H29" s="21">
        <f t="shared" si="0"/>
        <v>5090609.324550312</v>
      </c>
    </row>
    <row r="30" spans="1:8">
      <c r="A30" s="1" t="s">
        <v>23</v>
      </c>
      <c r="C30" s="4"/>
      <c r="D30" s="21"/>
      <c r="E30" s="21"/>
      <c r="F30" s="21"/>
      <c r="G30" s="21"/>
      <c r="H30" s="21"/>
    </row>
    <row r="31" spans="1:8">
      <c r="A31" s="1" t="s">
        <v>24</v>
      </c>
      <c r="B31" s="20">
        <v>0.35</v>
      </c>
      <c r="C31" s="4"/>
      <c r="D31" s="4"/>
      <c r="E31" s="4"/>
      <c r="F31" s="4"/>
      <c r="G31" s="4"/>
      <c r="H31" s="4"/>
    </row>
    <row r="32" spans="1:8">
      <c r="A32" s="1" t="s">
        <v>25</v>
      </c>
      <c r="B32" s="20">
        <v>0</v>
      </c>
      <c r="C32" s="4"/>
      <c r="D32" s="4"/>
      <c r="E32" s="4"/>
      <c r="F32" s="4"/>
      <c r="G32" s="4"/>
      <c r="H32" s="4"/>
    </row>
    <row r="33" spans="1:8">
      <c r="A33" s="1" t="s">
        <v>26</v>
      </c>
      <c r="C33" s="21"/>
      <c r="D33" s="4"/>
      <c r="E33" s="4"/>
      <c r="F33" s="4"/>
      <c r="G33" s="4"/>
      <c r="H33" s="4"/>
    </row>
    <row r="34" spans="1:8">
      <c r="A34" s="1" t="s">
        <v>27</v>
      </c>
      <c r="C34" s="4"/>
      <c r="D34" s="4"/>
      <c r="E34" s="4"/>
      <c r="F34" s="4"/>
      <c r="G34" s="4"/>
      <c r="H34" s="4"/>
    </row>
    <row r="35" spans="1:8">
      <c r="A35" s="1" t="s">
        <v>28</v>
      </c>
      <c r="C35" s="4"/>
      <c r="D35" s="4"/>
      <c r="E35" s="4"/>
      <c r="F35" s="4"/>
      <c r="G35" s="4"/>
      <c r="H35" s="4"/>
    </row>
    <row r="36" spans="1:8">
      <c r="A36" s="1" t="s">
        <v>29</v>
      </c>
      <c r="C36" s="4"/>
      <c r="D36" s="4"/>
      <c r="E36" s="4"/>
      <c r="F36" s="4"/>
      <c r="G36" s="4"/>
      <c r="H36" s="4"/>
    </row>
    <row r="37" spans="1:8">
      <c r="A37" s="1" t="s">
        <v>30</v>
      </c>
      <c r="B37" s="70"/>
      <c r="C37" s="4"/>
      <c r="D37" s="4"/>
      <c r="E37" s="4"/>
      <c r="F37" s="4"/>
      <c r="G37" s="4"/>
      <c r="H37" s="4"/>
    </row>
    <row r="38" spans="1:8">
      <c r="A38" s="1" t="s">
        <v>31</v>
      </c>
      <c r="B38" s="19"/>
      <c r="C38" s="4"/>
      <c r="D38" s="4"/>
      <c r="E38" s="4"/>
      <c r="F38" s="4"/>
      <c r="G38" s="4"/>
      <c r="H38" s="4"/>
    </row>
    <row r="39" spans="1:8" ht="15.75">
      <c r="A39" s="13" t="s">
        <v>1</v>
      </c>
      <c r="C39" s="4"/>
      <c r="D39" s="4"/>
      <c r="E39" s="4"/>
      <c r="F39" s="4"/>
      <c r="G39" s="4"/>
      <c r="H39" s="4"/>
    </row>
    <row r="40" spans="1:8">
      <c r="B40" s="1" t="s">
        <v>2</v>
      </c>
      <c r="C40" s="4"/>
      <c r="D40" s="4"/>
      <c r="E40" s="4"/>
      <c r="F40" s="4"/>
      <c r="G40" s="4"/>
      <c r="H40" s="4"/>
    </row>
    <row r="41" spans="1:8">
      <c r="A41" s="1" t="s">
        <v>32</v>
      </c>
      <c r="C41" s="4"/>
      <c r="D41" s="4"/>
      <c r="E41" s="4"/>
      <c r="F41" s="4"/>
      <c r="G41" s="4"/>
      <c r="H41" s="4"/>
    </row>
    <row r="42" spans="1:8">
      <c r="A42" s="1" t="s">
        <v>33</v>
      </c>
      <c r="B42" s="19">
        <v>30</v>
      </c>
      <c r="C42" s="4"/>
      <c r="D42" s="4">
        <v>0</v>
      </c>
      <c r="E42" s="4"/>
      <c r="F42" s="4"/>
      <c r="G42" s="4"/>
      <c r="H42" s="4"/>
    </row>
    <row r="43" spans="1:8">
      <c r="A43" s="1" t="s">
        <v>34</v>
      </c>
      <c r="B43" s="19">
        <v>30</v>
      </c>
      <c r="C43" s="4"/>
      <c r="D43" s="4">
        <v>0</v>
      </c>
      <c r="E43" s="4"/>
      <c r="F43" s="4"/>
      <c r="G43" s="4"/>
      <c r="H43" s="4"/>
    </row>
    <row r="44" spans="1:8">
      <c r="A44" s="1" t="s">
        <v>35</v>
      </c>
      <c r="B44" s="19"/>
      <c r="C44" s="4"/>
      <c r="D44" s="4">
        <v>0</v>
      </c>
      <c r="E44" s="4"/>
      <c r="F44" s="4"/>
      <c r="G44" s="4"/>
      <c r="H44" s="4"/>
    </row>
    <row r="45" spans="1:8">
      <c r="A45" s="1" t="s">
        <v>36</v>
      </c>
      <c r="B45" s="19">
        <v>30</v>
      </c>
      <c r="C45" s="4"/>
      <c r="D45" s="4">
        <v>0</v>
      </c>
      <c r="E45" s="4"/>
      <c r="F45" s="4"/>
      <c r="G45" s="4"/>
      <c r="H45" s="4"/>
    </row>
    <row r="46" spans="1:8">
      <c r="A46" s="1" t="s">
        <v>37</v>
      </c>
      <c r="B46" s="19">
        <v>30</v>
      </c>
      <c r="C46" s="4"/>
      <c r="D46" s="4">
        <v>0</v>
      </c>
      <c r="E46" s="4"/>
      <c r="F46" s="4"/>
      <c r="G46" s="4"/>
      <c r="H46" s="4"/>
    </row>
    <row r="47" spans="1:8">
      <c r="A47" s="1" t="s">
        <v>38</v>
      </c>
      <c r="B47" s="19"/>
      <c r="C47" s="4"/>
      <c r="D47" s="4">
        <v>0</v>
      </c>
      <c r="E47" s="4"/>
      <c r="F47" s="4"/>
      <c r="G47" s="4"/>
      <c r="H47" s="4"/>
    </row>
    <row r="48" spans="1:8">
      <c r="A48" s="1" t="s">
        <v>39</v>
      </c>
      <c r="B48" s="19">
        <v>30</v>
      </c>
      <c r="C48" s="4"/>
      <c r="D48" s="4">
        <v>0</v>
      </c>
      <c r="E48" s="4"/>
      <c r="F48" s="4"/>
      <c r="G48" s="4"/>
      <c r="H48" s="4"/>
    </row>
    <row r="49" spans="1:8">
      <c r="A49" s="1" t="s">
        <v>40</v>
      </c>
      <c r="B49" s="19"/>
      <c r="C49" s="4"/>
      <c r="D49" s="4">
        <v>0</v>
      </c>
      <c r="E49" s="4"/>
      <c r="F49" s="4"/>
      <c r="G49" s="4"/>
      <c r="H49" s="4"/>
    </row>
    <row r="50" spans="1:8">
      <c r="A50" s="1" t="s">
        <v>33</v>
      </c>
      <c r="B50" s="19">
        <v>30</v>
      </c>
      <c r="C50" s="4"/>
      <c r="D50" s="4">
        <v>0</v>
      </c>
      <c r="E50" s="4"/>
      <c r="F50" s="4"/>
      <c r="G50" s="4"/>
      <c r="H50" s="4"/>
    </row>
    <row r="51" spans="1:8">
      <c r="A51" s="1" t="s">
        <v>41</v>
      </c>
      <c r="B51" s="19"/>
      <c r="C51" s="4"/>
      <c r="D51" s="4">
        <v>0</v>
      </c>
      <c r="E51" s="4"/>
      <c r="F51" s="4"/>
      <c r="G51" s="4"/>
      <c r="H51" s="4"/>
    </row>
    <row r="52" spans="1:8">
      <c r="A52" s="1" t="s">
        <v>42</v>
      </c>
      <c r="B52" s="19"/>
      <c r="C52" s="4"/>
      <c r="D52" s="4">
        <v>0</v>
      </c>
      <c r="E52" s="4"/>
      <c r="F52" s="4"/>
      <c r="G52" s="4"/>
      <c r="H52" s="4"/>
    </row>
    <row r="53" spans="1:8">
      <c r="A53" s="1" t="s">
        <v>43</v>
      </c>
      <c r="B53" s="19"/>
      <c r="C53" s="4"/>
      <c r="D53" s="4">
        <v>0</v>
      </c>
      <c r="E53" s="4"/>
      <c r="F53" s="4"/>
      <c r="G53" s="4"/>
      <c r="H53" s="4"/>
    </row>
    <row r="54" spans="1:8">
      <c r="A54" s="1" t="s">
        <v>44</v>
      </c>
      <c r="B54" s="19"/>
      <c r="C54" s="4"/>
      <c r="D54" s="4">
        <v>0</v>
      </c>
      <c r="E54" s="4"/>
      <c r="F54" s="4"/>
      <c r="G54" s="4"/>
      <c r="H54" s="4"/>
    </row>
    <row r="55" spans="1:8">
      <c r="A55" s="1" t="s">
        <v>33</v>
      </c>
      <c r="B55" s="19">
        <v>30</v>
      </c>
      <c r="C55" s="4"/>
      <c r="D55" s="4"/>
      <c r="E55" s="4"/>
      <c r="F55" s="4"/>
      <c r="G55" s="4"/>
      <c r="H55" s="4"/>
    </row>
    <row r="56" spans="1:8">
      <c r="A56" s="1" t="s">
        <v>34</v>
      </c>
      <c r="B56" s="19"/>
      <c r="C56" s="4"/>
      <c r="D56" s="4"/>
      <c r="E56" s="4"/>
      <c r="F56" s="4"/>
      <c r="G56" s="4"/>
      <c r="H56" s="4"/>
    </row>
    <row r="57" spans="1:8">
      <c r="A57" s="1" t="s">
        <v>35</v>
      </c>
      <c r="B57" s="19"/>
      <c r="C57" s="4"/>
      <c r="D57" s="4"/>
      <c r="E57" s="4"/>
      <c r="F57" s="4"/>
      <c r="G57" s="4"/>
      <c r="H57" s="4"/>
    </row>
    <row r="58" spans="1:8">
      <c r="A58" s="1" t="s">
        <v>36</v>
      </c>
      <c r="B58" s="19"/>
      <c r="C58" s="4"/>
      <c r="D58" s="4"/>
      <c r="E58" s="4"/>
      <c r="F58" s="4"/>
      <c r="G58" s="4"/>
      <c r="H58" s="4"/>
    </row>
    <row r="59" spans="1:8">
      <c r="A59" s="1" t="s">
        <v>37</v>
      </c>
      <c r="B59" s="19"/>
      <c r="C59" s="4"/>
      <c r="D59" s="4"/>
      <c r="E59" s="4"/>
      <c r="F59" s="4"/>
      <c r="G59" s="4"/>
      <c r="H59" s="4"/>
    </row>
    <row r="60" spans="1:8">
      <c r="A60" s="1" t="s">
        <v>38</v>
      </c>
      <c r="B60" s="19"/>
      <c r="C60" s="4"/>
      <c r="D60" s="4"/>
      <c r="E60" s="4"/>
      <c r="F60" s="4"/>
      <c r="G60" s="4"/>
      <c r="H60" s="4"/>
    </row>
    <row r="61" spans="1:8">
      <c r="A61" s="1" t="s">
        <v>45</v>
      </c>
      <c r="C61" s="4"/>
      <c r="D61" s="4"/>
      <c r="E61" s="4"/>
      <c r="F61" s="4"/>
      <c r="G61" s="4"/>
      <c r="H61" s="4"/>
    </row>
    <row r="62" spans="1:8">
      <c r="A62" s="1" t="s">
        <v>46</v>
      </c>
      <c r="C62" s="4"/>
      <c r="D62" s="4"/>
      <c r="E62" s="4"/>
      <c r="F62" s="4"/>
      <c r="G62" s="4"/>
      <c r="H62" s="4"/>
    </row>
    <row r="63" spans="1:8">
      <c r="A63" s="1" t="s">
        <v>47</v>
      </c>
      <c r="C63" s="4"/>
      <c r="D63" s="4"/>
      <c r="E63" s="4"/>
      <c r="F63" s="4"/>
      <c r="G63" s="4"/>
      <c r="H63" s="4"/>
    </row>
    <row r="64" spans="1:8">
      <c r="A64" s="8" t="s">
        <v>3</v>
      </c>
      <c r="C64" s="4"/>
      <c r="D64" s="4"/>
      <c r="E64" s="4"/>
      <c r="F64" s="4"/>
      <c r="G64" s="4"/>
      <c r="H64" s="4"/>
    </row>
    <row r="65" spans="1:8">
      <c r="A65" s="1" t="s">
        <v>48</v>
      </c>
      <c r="B65" s="20">
        <v>0.09</v>
      </c>
      <c r="C65" s="4"/>
      <c r="D65" s="237">
        <v>1.0044999999999999</v>
      </c>
      <c r="E65" s="4"/>
      <c r="F65" s="4"/>
      <c r="G65" s="4"/>
      <c r="H65" s="4"/>
    </row>
    <row r="66" spans="1:8">
      <c r="A66" s="1" t="s">
        <v>49</v>
      </c>
      <c r="B66" s="12"/>
      <c r="C66" s="4"/>
      <c r="D66" s="6"/>
      <c r="E66" s="4"/>
      <c r="F66" s="4"/>
      <c r="G66" s="4"/>
      <c r="H66" s="4"/>
    </row>
    <row r="67" spans="1:8">
      <c r="A67" s="1" t="s">
        <v>50</v>
      </c>
      <c r="B67" s="19"/>
      <c r="C67" s="4"/>
      <c r="D67" s="4"/>
      <c r="E67" s="4"/>
      <c r="F67" s="4"/>
      <c r="G67" s="4"/>
      <c r="H67" s="4"/>
    </row>
    <row r="68" spans="1:8">
      <c r="A68" s="1" t="s">
        <v>51</v>
      </c>
      <c r="B68" s="15"/>
      <c r="C68" s="4"/>
      <c r="D68" s="4"/>
      <c r="E68" s="4"/>
      <c r="F68" s="4"/>
      <c r="G68" s="4"/>
      <c r="H68" s="4"/>
    </row>
    <row r="69" spans="1:8">
      <c r="A69" s="1" t="s">
        <v>52</v>
      </c>
      <c r="C69" s="4"/>
      <c r="D69" s="4"/>
      <c r="E69" s="4"/>
      <c r="F69" s="4"/>
      <c r="G69" s="4"/>
      <c r="H69" s="4"/>
    </row>
    <row r="70" spans="1:8">
      <c r="C70" s="4"/>
      <c r="D70" s="4"/>
      <c r="E70" s="4"/>
      <c r="F70" s="4"/>
      <c r="G70" s="4"/>
      <c r="H70" s="4"/>
    </row>
    <row r="71" spans="1:8">
      <c r="C71" s="4"/>
      <c r="D71" s="4"/>
      <c r="E71" s="4"/>
      <c r="F71" s="4"/>
      <c r="G71" s="4"/>
      <c r="H71" s="4"/>
    </row>
    <row r="72" spans="1:8">
      <c r="C72" s="4"/>
      <c r="D72" s="4"/>
      <c r="E72" s="4"/>
      <c r="F72" s="4"/>
      <c r="G72" s="4"/>
      <c r="H72" s="4"/>
    </row>
    <row r="73" spans="1:8">
      <c r="C73" s="4"/>
      <c r="D73" s="4"/>
      <c r="E73" s="4"/>
      <c r="F73" s="4"/>
      <c r="G73" s="4"/>
      <c r="H73" s="4"/>
    </row>
    <row r="74" spans="1:8">
      <c r="C74" s="4"/>
      <c r="D74" s="4"/>
      <c r="E74" s="4"/>
      <c r="F74" s="4"/>
      <c r="G74" s="4"/>
      <c r="H74" s="4"/>
    </row>
    <row r="75" spans="1:8">
      <c r="C75" s="4"/>
      <c r="D75" s="4"/>
      <c r="E75" s="4"/>
      <c r="F75" s="4"/>
      <c r="G75" s="4"/>
      <c r="H75" s="4"/>
    </row>
    <row r="94" spans="1:1">
      <c r="A94" s="4"/>
    </row>
  </sheetData>
  <phoneticPr fontId="3" type="noConversion"/>
  <pageMargins left="0.75" right="0.75" top="1" bottom="1" header="0" footer="0"/>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dimension ref="A1:J178"/>
  <sheetViews>
    <sheetView showGridLines="0" zoomScale="80" zoomScaleNormal="80" workbookViewId="0">
      <selection activeCell="B13" sqref="B13"/>
    </sheetView>
  </sheetViews>
  <sheetFormatPr baseColWidth="10" defaultRowHeight="15"/>
  <cols>
    <col min="1" max="1" width="31.85546875" style="1" customWidth="1"/>
    <col min="2" max="2" width="15.42578125" style="1" customWidth="1"/>
    <col min="3" max="3" width="18" style="1" customWidth="1"/>
    <col min="4" max="4" width="19.42578125" style="1" customWidth="1"/>
    <col min="5" max="6" width="14" style="1" customWidth="1"/>
    <col min="7" max="7" width="13.7109375" style="1" customWidth="1"/>
    <col min="8" max="8" width="11.85546875" style="1" customWidth="1"/>
    <col min="9" max="9" width="17.140625" style="1" customWidth="1"/>
    <col min="10" max="16384" width="11.42578125" style="1"/>
  </cols>
  <sheetData>
    <row r="1" spans="1:9">
      <c r="A1" s="367" t="s">
        <v>316</v>
      </c>
      <c r="B1" s="367"/>
      <c r="C1" s="367"/>
      <c r="D1" s="367"/>
      <c r="E1" s="367"/>
      <c r="F1" s="367"/>
      <c r="G1" s="367"/>
      <c r="H1" s="367"/>
      <c r="I1" s="304"/>
    </row>
    <row r="2" spans="1:9">
      <c r="A2" s="306" t="s">
        <v>317</v>
      </c>
      <c r="B2" s="306"/>
      <c r="C2" s="306"/>
      <c r="D2" s="306"/>
      <c r="E2" s="306"/>
      <c r="F2" s="306"/>
      <c r="G2" s="306"/>
      <c r="H2" s="306"/>
      <c r="I2" s="304"/>
    </row>
    <row r="3" spans="1:9">
      <c r="A3" s="368" t="s">
        <v>57</v>
      </c>
      <c r="B3" s="368"/>
      <c r="C3" s="368"/>
      <c r="D3" s="368"/>
      <c r="E3" s="368"/>
      <c r="F3" s="368"/>
      <c r="G3" s="368"/>
      <c r="H3" s="368"/>
      <c r="I3" s="304"/>
    </row>
    <row r="4" spans="1:9" ht="15.75" thickBot="1">
      <c r="A4" s="307"/>
      <c r="B4" s="318" t="s">
        <v>262</v>
      </c>
      <c r="C4" s="307"/>
      <c r="D4" s="307"/>
      <c r="E4" s="307"/>
      <c r="F4" s="307"/>
      <c r="G4" s="307"/>
      <c r="H4" s="305" t="s">
        <v>168</v>
      </c>
      <c r="I4" s="304"/>
    </row>
    <row r="5" spans="1:9" ht="15.75" thickBot="1">
      <c r="A5" s="308" t="s">
        <v>58</v>
      </c>
      <c r="B5" s="306"/>
      <c r="C5" s="319" t="s">
        <v>59</v>
      </c>
      <c r="D5" s="319"/>
      <c r="E5" s="319"/>
      <c r="F5" s="319"/>
      <c r="G5" s="319"/>
      <c r="H5" s="305" t="s">
        <v>169</v>
      </c>
      <c r="I5" s="304"/>
    </row>
    <row r="6" spans="1:9">
      <c r="A6" s="307"/>
      <c r="B6" s="307"/>
      <c r="C6" s="307"/>
      <c r="D6" s="307"/>
      <c r="E6" s="307"/>
      <c r="F6" s="307"/>
      <c r="G6" s="307"/>
      <c r="H6" s="305" t="s">
        <v>315</v>
      </c>
      <c r="I6" s="304"/>
    </row>
    <row r="7" spans="1:9">
      <c r="A7" s="320" t="s">
        <v>60</v>
      </c>
      <c r="B7" s="317">
        <v>0</v>
      </c>
      <c r="C7" s="317">
        <v>1</v>
      </c>
      <c r="D7" s="317">
        <v>2</v>
      </c>
      <c r="E7" s="317">
        <v>3</v>
      </c>
      <c r="F7" s="317">
        <v>4</v>
      </c>
      <c r="G7" s="317">
        <v>5</v>
      </c>
      <c r="H7" s="305" t="s">
        <v>170</v>
      </c>
      <c r="I7" s="304"/>
    </row>
    <row r="8" spans="1:9">
      <c r="A8" s="307"/>
      <c r="B8" s="307"/>
      <c r="C8" s="307"/>
      <c r="D8" s="307"/>
      <c r="E8" s="307"/>
      <c r="F8" s="307"/>
      <c r="G8" s="307"/>
      <c r="H8" s="310" t="s">
        <v>60</v>
      </c>
      <c r="I8" s="304"/>
    </row>
    <row r="9" spans="1:9">
      <c r="A9" s="307" t="s">
        <v>263</v>
      </c>
      <c r="B9" s="309">
        <f>+FORMULACION!B11</f>
        <v>0</v>
      </c>
      <c r="C9" s="309">
        <f>+FORMULACION!C11</f>
        <v>1</v>
      </c>
      <c r="D9" s="309">
        <f>+FORMULACION!D11</f>
        <v>1</v>
      </c>
      <c r="E9" s="309">
        <f>+FORMULACION!E11</f>
        <v>1</v>
      </c>
      <c r="F9" s="309">
        <f>+FORMULACION!F11</f>
        <v>1</v>
      </c>
      <c r="G9" s="309">
        <f>+FORMULACION!G11</f>
        <v>1</v>
      </c>
      <c r="H9" s="310"/>
      <c r="I9" s="304"/>
    </row>
    <row r="10" spans="1:9">
      <c r="A10" s="307"/>
      <c r="B10" s="307"/>
      <c r="C10" s="307"/>
      <c r="D10" s="307"/>
      <c r="E10" s="307"/>
      <c r="F10" s="307"/>
      <c r="G10" s="307"/>
      <c r="H10" s="307"/>
      <c r="I10" s="304"/>
    </row>
    <row r="11" spans="1:9">
      <c r="A11" s="311" t="s">
        <v>165</v>
      </c>
      <c r="B11" s="307"/>
      <c r="C11" s="312"/>
      <c r="D11" s="313"/>
      <c r="E11" s="313"/>
      <c r="F11" s="313"/>
      <c r="G11" s="313"/>
      <c r="H11" s="313"/>
      <c r="I11" s="304"/>
    </row>
    <row r="12" spans="1:9">
      <c r="A12" s="311" t="s">
        <v>305</v>
      </c>
      <c r="B12" s="312">
        <f>'VARIABLES DEL PROYECTO'!C33</f>
        <v>0</v>
      </c>
      <c r="C12" s="312"/>
      <c r="D12" s="312">
        <f>+'VARIABLES DEL PROYECTO'!E33</f>
        <v>0</v>
      </c>
      <c r="E12" s="312">
        <f>+'VARIABLES DEL PROYECTO'!F33</f>
        <v>0</v>
      </c>
      <c r="F12" s="312">
        <f>+'VARIABLES DEL PROYECTO'!G33</f>
        <v>0</v>
      </c>
      <c r="G12" s="312">
        <f>+'VARIABLES DEL PROYECTO'!H33</f>
        <v>0</v>
      </c>
      <c r="H12" s="312"/>
      <c r="I12" s="304"/>
    </row>
    <row r="13" spans="1:9">
      <c r="A13" s="311" t="s">
        <v>306</v>
      </c>
      <c r="B13" s="312"/>
      <c r="C13" s="312">
        <f>+FORMULACION!C413</f>
        <v>2456479851.5999999</v>
      </c>
      <c r="D13" s="312">
        <f>+FORMULACION!D413</f>
        <v>2467534010.9322</v>
      </c>
      <c r="E13" s="312">
        <f>+FORMULACION!E413</f>
        <v>2478637913.9813948</v>
      </c>
      <c r="F13" s="312">
        <f>+FORMULACION!F413</f>
        <v>2489791784.5943108</v>
      </c>
      <c r="G13" s="312">
        <f>+FORMULACION!G413</f>
        <v>2500995847.6249852</v>
      </c>
      <c r="H13" s="312">
        <v>257571876</v>
      </c>
      <c r="I13" s="304"/>
    </row>
    <row r="14" spans="1:9">
      <c r="A14" s="311" t="s">
        <v>45</v>
      </c>
      <c r="B14" s="312"/>
      <c r="C14" s="312"/>
      <c r="D14" s="312"/>
      <c r="E14" s="312"/>
      <c r="F14" s="312"/>
      <c r="G14" s="312"/>
      <c r="H14" s="312"/>
      <c r="I14" s="304"/>
    </row>
    <row r="15" spans="1:9">
      <c r="A15" s="311" t="s">
        <v>307</v>
      </c>
      <c r="B15" s="312"/>
      <c r="C15" s="312"/>
      <c r="D15" s="312"/>
      <c r="E15" s="312"/>
      <c r="F15" s="312"/>
      <c r="G15" s="312"/>
      <c r="H15" s="312"/>
      <c r="I15" s="304"/>
    </row>
    <row r="16" spans="1:9">
      <c r="A16" s="314"/>
      <c r="B16" s="312"/>
      <c r="C16" s="312"/>
      <c r="D16" s="312"/>
      <c r="E16" s="312"/>
      <c r="F16" s="312"/>
      <c r="G16" s="312"/>
      <c r="H16" s="312"/>
      <c r="I16" s="304"/>
    </row>
    <row r="17" spans="1:9">
      <c r="A17" s="315"/>
      <c r="B17" s="312"/>
      <c r="C17" s="312"/>
      <c r="D17" s="312"/>
      <c r="E17" s="312"/>
      <c r="F17" s="312"/>
      <c r="G17" s="312"/>
      <c r="H17" s="312"/>
      <c r="I17" s="304"/>
    </row>
    <row r="18" spans="1:9">
      <c r="A18" s="307"/>
      <c r="B18" s="312"/>
      <c r="C18" s="312"/>
      <c r="D18" s="312"/>
      <c r="E18" s="312"/>
      <c r="F18" s="312"/>
      <c r="G18" s="312"/>
      <c r="H18" s="312"/>
      <c r="I18" s="304"/>
    </row>
    <row r="19" spans="1:9">
      <c r="A19" s="321" t="s">
        <v>183</v>
      </c>
      <c r="B19" s="322">
        <f t="shared" ref="B19:H19" si="0">SUM(B12:B16)</f>
        <v>0</v>
      </c>
      <c r="C19" s="322">
        <f t="shared" si="0"/>
        <v>2456479851.5999999</v>
      </c>
      <c r="D19" s="322">
        <f t="shared" si="0"/>
        <v>2467534010.9322</v>
      </c>
      <c r="E19" s="322">
        <f t="shared" si="0"/>
        <v>2478637913.9813948</v>
      </c>
      <c r="F19" s="322">
        <f t="shared" si="0"/>
        <v>2489791784.5943108</v>
      </c>
      <c r="G19" s="322">
        <f t="shared" si="0"/>
        <v>2500995847.6249852</v>
      </c>
      <c r="H19" s="322">
        <f t="shared" si="0"/>
        <v>257571876</v>
      </c>
      <c r="I19" s="304"/>
    </row>
    <row r="20" spans="1:9">
      <c r="A20" s="307"/>
      <c r="B20" s="312"/>
      <c r="C20" s="312"/>
      <c r="D20" s="312"/>
      <c r="E20" s="312"/>
      <c r="F20" s="312"/>
      <c r="G20" s="312"/>
      <c r="H20" s="312"/>
      <c r="I20" s="304"/>
    </row>
    <row r="21" spans="1:9">
      <c r="A21" s="307"/>
      <c r="B21" s="312"/>
      <c r="C21" s="312"/>
      <c r="D21" s="312"/>
      <c r="E21" s="312"/>
      <c r="F21" s="312"/>
      <c r="G21" s="312"/>
      <c r="H21" s="312"/>
      <c r="I21" s="304"/>
    </row>
    <row r="22" spans="1:9">
      <c r="A22" s="311" t="s">
        <v>175</v>
      </c>
      <c r="B22" s="312"/>
      <c r="C22" s="312"/>
      <c r="D22" s="312"/>
      <c r="E22" s="312"/>
      <c r="F22" s="312"/>
      <c r="G22" s="312"/>
      <c r="H22" s="312"/>
      <c r="I22" s="304"/>
    </row>
    <row r="23" spans="1:9">
      <c r="A23" s="311" t="s">
        <v>308</v>
      </c>
      <c r="B23" s="312">
        <f>+FORMULACION!B274</f>
        <v>120322500</v>
      </c>
      <c r="C23" s="312">
        <f>+FORMULACION!D274</f>
        <v>193896853.33333331</v>
      </c>
      <c r="D23" s="312">
        <f>+FORMULACION!E274</f>
        <v>872535.84000000358</v>
      </c>
      <c r="E23" s="312">
        <f>+FORMULACION!F274</f>
        <v>876462.25127997994</v>
      </c>
      <c r="F23" s="312"/>
      <c r="G23" s="312"/>
      <c r="H23" s="312"/>
      <c r="I23" s="304"/>
    </row>
    <row r="24" spans="1:9">
      <c r="A24" s="311" t="s">
        <v>309</v>
      </c>
      <c r="B24" s="312"/>
      <c r="C24" s="312"/>
      <c r="D24" s="312"/>
      <c r="E24" s="312"/>
      <c r="F24" s="312"/>
      <c r="G24" s="312"/>
      <c r="H24" s="312"/>
      <c r="I24" s="304"/>
    </row>
    <row r="25" spans="1:9">
      <c r="A25" s="311" t="s">
        <v>310</v>
      </c>
      <c r="B25" s="312">
        <f>+FORMULACION!B163-FORMULACION!B145-FORMULACION!B157</f>
        <v>0</v>
      </c>
      <c r="C25" s="312">
        <f>+FORMULACION!C163-FORMULACION!C145-FORMULACION!C157</f>
        <v>2326762240</v>
      </c>
      <c r="D25" s="312">
        <f>+FORMULACION!D163-FORMULACION!D145-FORMULACION!D157</f>
        <v>2337232670.0799999</v>
      </c>
      <c r="E25" s="312">
        <f>+FORMULACION!E163-FORMULACION!E145-FORMULACION!E157</f>
        <v>2347750217.0953598</v>
      </c>
      <c r="F25" s="312">
        <f>+FORMULACION!F163-FORMULACION!F145-FORMULACION!F157</f>
        <v>2358315093.072289</v>
      </c>
      <c r="G25" s="312">
        <f>+FORMULACION!G163-FORMULACION!G145-FORMULACION!G157</f>
        <v>2368927510.9911137</v>
      </c>
      <c r="H25" s="312"/>
      <c r="I25" s="304"/>
    </row>
    <row r="26" spans="1:9">
      <c r="A26" s="311" t="s">
        <v>311</v>
      </c>
      <c r="B26" s="312">
        <f>+FORMULACION!B165</f>
        <v>0</v>
      </c>
      <c r="C26" s="312">
        <f>+FORMULACION!C165</f>
        <v>0</v>
      </c>
      <c r="D26" s="312">
        <f>+FORMULACION!D165</f>
        <v>0</v>
      </c>
      <c r="E26" s="312">
        <f>+FORMULACION!E165</f>
        <v>0</v>
      </c>
      <c r="F26" s="312">
        <f>+FORMULACION!F165</f>
        <v>0</v>
      </c>
      <c r="G26" s="312">
        <f>+FORMULACION!G165</f>
        <v>0</v>
      </c>
      <c r="H26" s="312"/>
      <c r="I26" s="304"/>
    </row>
    <row r="27" spans="1:9">
      <c r="A27" s="311" t="s">
        <v>312</v>
      </c>
      <c r="B27" s="312">
        <f>+FORMULACION!B67</f>
        <v>0</v>
      </c>
      <c r="C27" s="312">
        <f>+FORMULACION!C67</f>
        <v>0</v>
      </c>
      <c r="D27" s="312">
        <f>+FORMULACION!D67</f>
        <v>0</v>
      </c>
      <c r="E27" s="312">
        <f>+FORMULACION!E67</f>
        <v>0</v>
      </c>
      <c r="F27" s="312">
        <f>+FORMULACION!F67</f>
        <v>0</v>
      </c>
      <c r="G27" s="312">
        <f>+FORMULACION!G67</f>
        <v>0</v>
      </c>
      <c r="H27" s="312"/>
      <c r="I27" s="304"/>
    </row>
    <row r="28" spans="1:9">
      <c r="A28" s="311" t="s">
        <v>313</v>
      </c>
      <c r="B28" s="312">
        <f>+FORMULACION!B339</f>
        <v>0</v>
      </c>
      <c r="C28" s="312">
        <f>+FORMULACION!C339</f>
        <v>41189876.559999965</v>
      </c>
      <c r="D28" s="312">
        <f>+FORMULACION!D339</f>
        <v>41394181.798270009</v>
      </c>
      <c r="E28" s="312">
        <f>+FORMULACION!E339</f>
        <v>41599406.41011221</v>
      </c>
      <c r="F28" s="312">
        <f>+FORMULACION!F339</f>
        <v>41805554.532707676</v>
      </c>
      <c r="G28" s="312">
        <f>+FORMULACION!G339</f>
        <v>42012630.321855113</v>
      </c>
      <c r="H28" s="312"/>
      <c r="I28" s="304"/>
    </row>
    <row r="29" spans="1:9">
      <c r="A29" s="307"/>
      <c r="B29" s="312"/>
      <c r="C29" s="312"/>
      <c r="D29" s="312"/>
      <c r="E29" s="312"/>
      <c r="F29" s="312"/>
      <c r="G29" s="312"/>
      <c r="H29" s="312"/>
      <c r="I29" s="304"/>
    </row>
    <row r="30" spans="1:9">
      <c r="A30" s="315"/>
      <c r="B30" s="312"/>
      <c r="C30" s="312"/>
      <c r="D30" s="312"/>
      <c r="E30" s="312"/>
      <c r="F30" s="312"/>
      <c r="G30" s="312"/>
      <c r="H30" s="312"/>
      <c r="I30" s="304"/>
    </row>
    <row r="31" spans="1:9">
      <c r="A31" s="311"/>
      <c r="B31" s="312"/>
      <c r="C31" s="312"/>
      <c r="D31" s="312"/>
      <c r="E31" s="312"/>
      <c r="F31" s="312"/>
      <c r="G31" s="312"/>
      <c r="H31" s="312"/>
      <c r="I31" s="304"/>
    </row>
    <row r="32" spans="1:9">
      <c r="A32" s="323" t="s">
        <v>184</v>
      </c>
      <c r="B32" s="322">
        <f t="shared" ref="B32:H32" si="1">SUM(B23:B30)</f>
        <v>120322500</v>
      </c>
      <c r="C32" s="322">
        <f t="shared" si="1"/>
        <v>2561848969.8933334</v>
      </c>
      <c r="D32" s="322">
        <f t="shared" si="1"/>
        <v>2379499387.7182703</v>
      </c>
      <c r="E32" s="322">
        <f t="shared" si="1"/>
        <v>2390226085.756752</v>
      </c>
      <c r="F32" s="322">
        <f t="shared" si="1"/>
        <v>2400120647.6049967</v>
      </c>
      <c r="G32" s="322">
        <f t="shared" si="1"/>
        <v>2410940141.3129687</v>
      </c>
      <c r="H32" s="322">
        <f t="shared" si="1"/>
        <v>0</v>
      </c>
      <c r="I32" s="304"/>
    </row>
    <row r="33" spans="1:10">
      <c r="A33" s="311"/>
      <c r="B33" s="312"/>
      <c r="C33" s="312"/>
      <c r="D33" s="312"/>
      <c r="E33" s="312"/>
      <c r="F33" s="312"/>
      <c r="G33" s="312"/>
      <c r="H33" s="312"/>
      <c r="I33" s="304"/>
    </row>
    <row r="34" spans="1:10">
      <c r="A34" s="314" t="s">
        <v>185</v>
      </c>
      <c r="B34" s="312">
        <f t="shared" ref="B34:G34" si="2">+B19-B32</f>
        <v>-120322500</v>
      </c>
      <c r="C34" s="312">
        <f t="shared" si="2"/>
        <v>-105369118.29333353</v>
      </c>
      <c r="D34" s="312">
        <f t="shared" si="2"/>
        <v>88034623.213929653</v>
      </c>
      <c r="E34" s="312">
        <f t="shared" si="2"/>
        <v>88411828.224642754</v>
      </c>
      <c r="F34" s="312">
        <f t="shared" si="2"/>
        <v>89671136.989314079</v>
      </c>
      <c r="G34" s="312">
        <f t="shared" si="2"/>
        <v>90055706.312016487</v>
      </c>
      <c r="H34" s="312">
        <f>+H19-H32</f>
        <v>257571876</v>
      </c>
      <c r="I34" s="304"/>
    </row>
    <row r="35" spans="1:10">
      <c r="A35" s="315"/>
      <c r="B35" s="312"/>
      <c r="C35" s="312"/>
      <c r="D35" s="312"/>
      <c r="E35" s="312"/>
      <c r="F35" s="312"/>
      <c r="G35" s="312"/>
      <c r="H35" s="312"/>
      <c r="I35" s="304"/>
    </row>
    <row r="36" spans="1:10">
      <c r="A36" s="307"/>
      <c r="B36" s="312"/>
      <c r="C36" s="312"/>
      <c r="D36" s="312"/>
      <c r="E36" s="312"/>
      <c r="F36" s="312"/>
      <c r="G36" s="312"/>
      <c r="H36" s="312"/>
      <c r="I36" s="304"/>
    </row>
    <row r="37" spans="1:10">
      <c r="A37" s="321" t="s">
        <v>314</v>
      </c>
      <c r="B37" s="322">
        <f>+B34</f>
        <v>-120322500</v>
      </c>
      <c r="C37" s="322">
        <f>+C34</f>
        <v>-105369118.29333353</v>
      </c>
      <c r="D37" s="322">
        <f>+D34</f>
        <v>88034623.213929653</v>
      </c>
      <c r="E37" s="322">
        <f>+E34</f>
        <v>88411828.224642754</v>
      </c>
      <c r="F37" s="322">
        <f>+F34</f>
        <v>89671136.989314079</v>
      </c>
      <c r="G37" s="322">
        <f>+G34+H34</f>
        <v>347627582.31201649</v>
      </c>
      <c r="H37" s="322"/>
      <c r="I37" s="304"/>
    </row>
    <row r="38" spans="1:10">
      <c r="A38" s="307"/>
      <c r="B38" s="312"/>
      <c r="C38" s="312"/>
      <c r="D38" s="312"/>
      <c r="E38" s="312"/>
      <c r="F38" s="312"/>
      <c r="G38" s="312"/>
      <c r="H38" s="312"/>
      <c r="I38" s="304"/>
    </row>
    <row r="39" spans="1:10">
      <c r="A39" s="308"/>
      <c r="B39" s="322">
        <f t="shared" ref="B39:G39" si="3">+ABS(B37)</f>
        <v>120322500</v>
      </c>
      <c r="C39" s="322">
        <f t="shared" si="3"/>
        <v>105369118.29333353</v>
      </c>
      <c r="D39" s="322">
        <f t="shared" si="3"/>
        <v>88034623.213929653</v>
      </c>
      <c r="E39" s="322">
        <f t="shared" si="3"/>
        <v>88411828.224642754</v>
      </c>
      <c r="F39" s="322">
        <f t="shared" si="3"/>
        <v>89671136.989314079</v>
      </c>
      <c r="G39" s="322">
        <f t="shared" si="3"/>
        <v>347627582.31201649</v>
      </c>
      <c r="H39" s="322"/>
      <c r="I39" s="304"/>
    </row>
    <row r="40" spans="1:10">
      <c r="A40" s="60"/>
      <c r="B40" s="62">
        <v>0</v>
      </c>
      <c r="C40" s="62">
        <v>0</v>
      </c>
      <c r="D40" s="60"/>
      <c r="E40" s="60"/>
      <c r="F40" s="60"/>
      <c r="G40" s="60"/>
      <c r="H40" s="62"/>
    </row>
    <row r="41" spans="1:10">
      <c r="B41" s="330"/>
      <c r="C41" s="330"/>
      <c r="D41" s="330"/>
      <c r="E41" s="330"/>
      <c r="F41" s="330"/>
      <c r="G41" s="330"/>
      <c r="H41" s="4"/>
      <c r="I41" s="4"/>
    </row>
    <row r="42" spans="1:10" ht="15.75">
      <c r="A42" s="324"/>
      <c r="B42" s="369" t="s">
        <v>544</v>
      </c>
      <c r="C42" s="369"/>
      <c r="D42" s="369"/>
      <c r="E42" s="369"/>
      <c r="F42" s="369"/>
      <c r="G42" s="369"/>
      <c r="H42" s="327"/>
      <c r="I42" s="4"/>
    </row>
    <row r="43" spans="1:10" ht="15.75">
      <c r="A43" s="324"/>
      <c r="B43" s="369" t="s">
        <v>545</v>
      </c>
      <c r="C43" s="369"/>
      <c r="D43" s="369"/>
      <c r="E43" s="369"/>
      <c r="F43" s="369"/>
      <c r="G43" s="369"/>
      <c r="H43" s="327"/>
      <c r="I43" s="31" t="str">
        <f>IF(H37&gt;0,H37,"")</f>
        <v/>
      </c>
    </row>
    <row r="44" spans="1:10">
      <c r="A44" s="324"/>
      <c r="B44" s="28"/>
      <c r="C44" s="28"/>
      <c r="D44" s="28"/>
      <c r="E44" s="28"/>
      <c r="F44" s="28"/>
      <c r="G44" s="28"/>
      <c r="H44" s="328"/>
      <c r="I44" s="4"/>
    </row>
    <row r="45" spans="1:10">
      <c r="A45" s="324"/>
      <c r="B45" s="28"/>
      <c r="C45" s="28"/>
      <c r="D45" s="28"/>
      <c r="E45" s="28"/>
      <c r="F45" s="28"/>
      <c r="G45" s="333">
        <f>IF(G37&gt;0,G37,"")</f>
        <v>347627582.31201649</v>
      </c>
      <c r="H45" s="327"/>
      <c r="I45" s="4"/>
    </row>
    <row r="46" spans="1:10">
      <c r="A46" s="324"/>
      <c r="B46" s="26"/>
      <c r="C46" s="334" t="str">
        <f>IF(C37&gt;0,C37,"")</f>
        <v/>
      </c>
      <c r="D46" s="28"/>
      <c r="E46" s="28"/>
      <c r="F46" s="333">
        <f>IF(F37&gt;0,F37,"")</f>
        <v>89671136.989314079</v>
      </c>
      <c r="G46" s="28"/>
      <c r="H46" s="327"/>
      <c r="I46" s="4"/>
      <c r="J46" s="16" t="str">
        <f>IF(J37&gt;0,J37,"")</f>
        <v/>
      </c>
    </row>
    <row r="47" spans="1:10">
      <c r="A47" s="324"/>
      <c r="B47" s="28"/>
      <c r="C47" s="28"/>
      <c r="D47" s="28"/>
      <c r="E47" s="333">
        <f>IF(E37&gt;0,E37,"")</f>
        <v>88411828.224642754</v>
      </c>
      <c r="F47" s="28"/>
      <c r="G47" s="28"/>
      <c r="H47" s="327"/>
      <c r="I47" s="4"/>
    </row>
    <row r="48" spans="1:10">
      <c r="A48" s="324"/>
      <c r="B48" s="28"/>
      <c r="C48" s="28"/>
      <c r="D48" s="333">
        <f>IF(D37&gt;0,D37,"")</f>
        <v>88034623.213929653</v>
      </c>
      <c r="E48" s="28"/>
      <c r="F48" s="28"/>
      <c r="G48" s="28"/>
      <c r="H48" s="327"/>
      <c r="I48" s="4"/>
    </row>
    <row r="49" spans="1:10">
      <c r="A49" s="324"/>
      <c r="B49" s="334" t="str">
        <f>IF(B37&gt;0,B37,"")</f>
        <v/>
      </c>
      <c r="C49" s="28"/>
      <c r="D49" s="28"/>
      <c r="E49" s="28"/>
      <c r="F49" s="28"/>
      <c r="G49" s="28"/>
      <c r="H49" s="327"/>
      <c r="I49" s="4"/>
    </row>
    <row r="50" spans="1:10" ht="15.75">
      <c r="A50" s="324"/>
      <c r="B50" s="28"/>
      <c r="C50" s="28"/>
      <c r="D50" s="28"/>
      <c r="E50" s="266"/>
      <c r="F50" s="28"/>
      <c r="G50" s="28"/>
      <c r="H50" s="327"/>
      <c r="I50" s="4"/>
    </row>
    <row r="51" spans="1:10">
      <c r="A51" s="324"/>
      <c r="B51" s="28"/>
      <c r="C51" s="28"/>
      <c r="D51" s="28"/>
      <c r="E51" s="28"/>
      <c r="F51" s="28"/>
      <c r="G51" s="28"/>
      <c r="H51" s="327"/>
      <c r="I51" s="4"/>
    </row>
    <row r="52" spans="1:10">
      <c r="A52" s="325">
        <v>0</v>
      </c>
      <c r="B52" s="333">
        <v>0</v>
      </c>
      <c r="C52" s="333">
        <v>1</v>
      </c>
      <c r="D52" s="333">
        <v>2</v>
      </c>
      <c r="E52" s="333">
        <v>3</v>
      </c>
      <c r="F52" s="333">
        <v>4</v>
      </c>
      <c r="G52" s="333">
        <v>5</v>
      </c>
      <c r="H52" s="328"/>
      <c r="I52" s="31"/>
    </row>
    <row r="53" spans="1:10">
      <c r="A53" s="324"/>
      <c r="B53" s="28"/>
      <c r="C53" s="28"/>
      <c r="D53" s="28"/>
      <c r="E53" s="28"/>
      <c r="F53" s="28"/>
      <c r="G53" s="28"/>
      <c r="H53" s="327"/>
      <c r="I53" s="4"/>
    </row>
    <row r="54" spans="1:10">
      <c r="A54" s="324"/>
      <c r="B54" s="28"/>
      <c r="C54" s="28"/>
      <c r="D54" s="28"/>
      <c r="E54" s="28"/>
      <c r="F54" s="28"/>
      <c r="G54" s="28"/>
      <c r="H54" s="327"/>
      <c r="I54" s="4"/>
    </row>
    <row r="55" spans="1:10">
      <c r="A55" s="324"/>
      <c r="B55" s="28"/>
      <c r="C55" s="28"/>
      <c r="D55" s="28"/>
      <c r="E55" s="28"/>
      <c r="F55" s="28"/>
      <c r="G55" s="28"/>
      <c r="H55" s="327"/>
      <c r="I55" s="4"/>
    </row>
    <row r="56" spans="1:10">
      <c r="A56" s="324"/>
      <c r="B56" s="28">
        <f t="shared" ref="B56:G56" si="4">IF(B37&lt;-1,B37,"")*-1</f>
        <v>120322500</v>
      </c>
      <c r="C56" s="28">
        <f t="shared" si="4"/>
        <v>105369118.29333353</v>
      </c>
      <c r="D56" s="335" t="e">
        <f t="shared" si="4"/>
        <v>#VALUE!</v>
      </c>
      <c r="E56" s="335" t="e">
        <f t="shared" si="4"/>
        <v>#VALUE!</v>
      </c>
      <c r="F56" s="335" t="e">
        <f t="shared" si="4"/>
        <v>#VALUE!</v>
      </c>
      <c r="G56" s="335" t="e">
        <f t="shared" si="4"/>
        <v>#VALUE!</v>
      </c>
      <c r="H56" s="327"/>
      <c r="I56" s="4" t="str">
        <f>IF(H37&lt;-1,H37,"")</f>
        <v/>
      </c>
      <c r="J56" s="7" t="str">
        <f>IF(J37&lt;-1,J37,"")</f>
        <v/>
      </c>
    </row>
    <row r="57" spans="1:10">
      <c r="A57" s="324"/>
      <c r="B57" s="254"/>
      <c r="C57" s="254"/>
      <c r="D57" s="254"/>
      <c r="E57" s="254"/>
      <c r="F57" s="254"/>
      <c r="G57" s="254"/>
      <c r="H57" s="329"/>
      <c r="I57" s="7"/>
      <c r="J57" s="7"/>
    </row>
    <row r="58" spans="1:10">
      <c r="A58" s="324"/>
      <c r="B58" s="254"/>
      <c r="C58" s="254"/>
      <c r="D58" s="254"/>
      <c r="E58" s="254"/>
      <c r="F58" s="254"/>
      <c r="G58" s="254"/>
      <c r="H58" s="329"/>
      <c r="I58" s="7"/>
      <c r="J58" s="7"/>
    </row>
    <row r="59" spans="1:10">
      <c r="A59" s="324"/>
      <c r="B59" s="254"/>
      <c r="C59" s="254"/>
      <c r="D59" s="254"/>
      <c r="E59" s="254"/>
      <c r="F59" s="254"/>
      <c r="G59" s="254"/>
      <c r="H59" s="329"/>
      <c r="I59" s="7"/>
      <c r="J59" s="7"/>
    </row>
    <row r="60" spans="1:10">
      <c r="A60" s="326"/>
      <c r="B60" s="363" t="s">
        <v>546</v>
      </c>
      <c r="C60" s="363"/>
      <c r="D60" s="363"/>
      <c r="E60" s="363"/>
      <c r="F60" s="254"/>
      <c r="G60" s="254"/>
      <c r="H60" s="329"/>
      <c r="I60" s="7"/>
      <c r="J60" s="7"/>
    </row>
    <row r="61" spans="1:10">
      <c r="A61" s="326"/>
      <c r="B61" s="316"/>
      <c r="C61" s="316"/>
      <c r="D61" s="316"/>
      <c r="E61" s="316"/>
      <c r="F61" s="254"/>
      <c r="G61" s="254"/>
      <c r="H61" s="329"/>
      <c r="I61" s="7"/>
      <c r="J61" s="7"/>
    </row>
    <row r="62" spans="1:10">
      <c r="A62" s="32"/>
      <c r="B62" s="364" t="s">
        <v>336</v>
      </c>
      <c r="C62" s="364"/>
      <c r="D62" s="364"/>
      <c r="E62" s="331"/>
      <c r="F62" s="332"/>
      <c r="G62" s="332"/>
      <c r="H62" s="7"/>
      <c r="I62" s="7"/>
      <c r="J62" s="7"/>
    </row>
    <row r="63" spans="1:10" ht="15.75">
      <c r="A63" s="32"/>
      <c r="B63" s="362"/>
      <c r="C63" s="362"/>
      <c r="D63" s="362"/>
      <c r="E63" s="11"/>
      <c r="F63" s="7"/>
      <c r="G63" s="7"/>
      <c r="H63" s="7"/>
      <c r="I63" s="7"/>
      <c r="J63" s="7"/>
    </row>
    <row r="64" spans="1:10" ht="15.75">
      <c r="A64" s="32"/>
      <c r="B64" s="365" t="s">
        <v>355</v>
      </c>
      <c r="C64" s="365"/>
      <c r="D64" s="365"/>
      <c r="E64" s="32"/>
      <c r="F64" s="7"/>
      <c r="G64" s="7"/>
      <c r="H64" s="7"/>
      <c r="I64" s="7"/>
      <c r="J64" s="7"/>
    </row>
    <row r="65" spans="2:10">
      <c r="B65" s="1" t="s">
        <v>337</v>
      </c>
      <c r="C65" s="34">
        <v>0.2</v>
      </c>
      <c r="D65" s="9" t="s">
        <v>362</v>
      </c>
      <c r="E65" s="32"/>
      <c r="F65" s="7"/>
      <c r="G65" s="7"/>
      <c r="H65" s="7"/>
      <c r="I65" s="7"/>
      <c r="J65" s="7"/>
    </row>
    <row r="66" spans="2:10">
      <c r="C66" s="17"/>
      <c r="E66" s="32"/>
      <c r="F66" s="7"/>
      <c r="G66" s="7"/>
      <c r="H66" s="7"/>
      <c r="I66" s="7"/>
      <c r="J66" s="7"/>
    </row>
    <row r="67" spans="2:10">
      <c r="C67" s="58"/>
      <c r="D67" s="59"/>
      <c r="E67" s="32"/>
      <c r="F67" s="7"/>
      <c r="G67" s="7"/>
      <c r="H67" s="7"/>
      <c r="I67" s="7"/>
      <c r="J67" s="7"/>
    </row>
    <row r="68" spans="2:10">
      <c r="B68" s="1" t="s">
        <v>262</v>
      </c>
      <c r="C68" s="59" t="str">
        <f>IF(B37&gt;0,B37,"0,00")</f>
        <v>0,00</v>
      </c>
      <c r="D68" s="6" t="str">
        <f>C68</f>
        <v>0,00</v>
      </c>
      <c r="E68" s="32"/>
      <c r="F68" s="7"/>
      <c r="G68" s="7"/>
      <c r="H68" s="7"/>
      <c r="I68" s="7"/>
      <c r="J68" s="7"/>
    </row>
    <row r="69" spans="2:10">
      <c r="B69" s="1" t="s">
        <v>339</v>
      </c>
      <c r="C69" s="59" t="str">
        <f>IF(C37&gt;0,C37,"0,00")</f>
        <v>0,00</v>
      </c>
      <c r="D69" s="6">
        <f>C69/(1+$C$65)^1</f>
        <v>0</v>
      </c>
      <c r="E69" s="32"/>
      <c r="F69" s="7"/>
      <c r="G69" s="7"/>
      <c r="H69" s="7"/>
      <c r="I69" s="7"/>
      <c r="J69" s="7"/>
    </row>
    <row r="70" spans="2:10">
      <c r="B70" s="1" t="s">
        <v>340</v>
      </c>
      <c r="C70" s="59">
        <f>IF(D37&gt;0,D34,"0,00")</f>
        <v>88034623.213929653</v>
      </c>
      <c r="D70" s="6">
        <f>C70/(1+$C$65)^2</f>
        <v>61135155.009673372</v>
      </c>
      <c r="E70" s="32"/>
      <c r="F70" s="7"/>
      <c r="G70" s="7"/>
      <c r="H70" s="7"/>
      <c r="I70" s="7"/>
      <c r="J70" s="7"/>
    </row>
    <row r="71" spans="2:10">
      <c r="B71" s="1" t="s">
        <v>341</v>
      </c>
      <c r="C71" s="59">
        <f>IF(E37&gt;0,E37,"0,00")</f>
        <v>88411828.224642754</v>
      </c>
      <c r="D71" s="6">
        <f>C71/(1+$C$65)^3</f>
        <v>51164252.444816411</v>
      </c>
      <c r="E71" s="32"/>
      <c r="F71" s="7"/>
      <c r="G71" s="7"/>
      <c r="H71" s="7"/>
      <c r="I71" s="7"/>
      <c r="J71" s="7"/>
    </row>
    <row r="72" spans="2:10">
      <c r="B72" s="1" t="s">
        <v>342</v>
      </c>
      <c r="C72" s="59">
        <f>IF(F37&gt;0,F37,"0,00")</f>
        <v>89671136.989314079</v>
      </c>
      <c r="D72" s="6">
        <f>C72/(1+$C$65)^4</f>
        <v>43244182.575865202</v>
      </c>
      <c r="E72" s="32"/>
      <c r="F72" s="7"/>
      <c r="G72" s="7"/>
      <c r="H72" s="7"/>
      <c r="I72" s="7"/>
      <c r="J72" s="7"/>
    </row>
    <row r="73" spans="2:10">
      <c r="B73" s="1" t="s">
        <v>343</v>
      </c>
      <c r="C73" s="59">
        <f>IF(G37&gt;0,G37,"0,00")</f>
        <v>347627582.31201649</v>
      </c>
      <c r="D73" s="6">
        <f>C73/(1+$C$65)^5</f>
        <v>139703728.7455056</v>
      </c>
      <c r="E73" s="32"/>
      <c r="F73" s="7"/>
      <c r="G73" s="7"/>
      <c r="H73" s="7"/>
      <c r="I73" s="7"/>
      <c r="J73" s="7"/>
    </row>
    <row r="74" spans="2:10">
      <c r="C74" s="59"/>
      <c r="D74" s="6"/>
      <c r="E74" s="32"/>
      <c r="F74" s="7"/>
      <c r="G74" s="7"/>
      <c r="H74" s="7"/>
      <c r="I74" s="7"/>
      <c r="J74" s="7"/>
    </row>
    <row r="75" spans="2:10" ht="15.75">
      <c r="C75" s="36" t="s">
        <v>354</v>
      </c>
      <c r="D75" s="6">
        <f>SUM(D67:D74)</f>
        <v>295247318.77586055</v>
      </c>
      <c r="E75" s="37"/>
      <c r="F75" s="7"/>
      <c r="G75" s="7"/>
      <c r="H75" s="7"/>
      <c r="I75" s="7"/>
      <c r="J75" s="7"/>
    </row>
    <row r="76" spans="2:10" ht="15.75">
      <c r="C76" s="36"/>
      <c r="D76" s="4"/>
      <c r="E76" s="37"/>
      <c r="F76" s="7"/>
      <c r="G76" s="7"/>
      <c r="H76" s="7"/>
      <c r="I76" s="7"/>
      <c r="J76" s="7"/>
    </row>
    <row r="77" spans="2:10" ht="15.75">
      <c r="C77" s="36"/>
      <c r="D77" s="4"/>
      <c r="E77" s="37"/>
      <c r="F77" s="7"/>
      <c r="G77" s="7"/>
      <c r="H77" s="7"/>
      <c r="I77" s="7"/>
      <c r="J77" s="7"/>
    </row>
    <row r="78" spans="2:10">
      <c r="B78" s="63"/>
      <c r="C78" s="63"/>
      <c r="D78" s="63"/>
      <c r="E78" s="37"/>
      <c r="F78" s="7"/>
      <c r="G78" s="7"/>
      <c r="H78" s="7"/>
      <c r="I78" s="7"/>
      <c r="J78" s="7"/>
    </row>
    <row r="79" spans="2:10" ht="15.75">
      <c r="B79" s="11"/>
      <c r="C79" s="11"/>
      <c r="D79" s="11"/>
      <c r="E79" s="37"/>
      <c r="F79" s="7"/>
      <c r="G79" s="7"/>
      <c r="H79" s="7"/>
      <c r="I79" s="7"/>
      <c r="J79" s="7"/>
    </row>
    <row r="80" spans="2:10" ht="15.75">
      <c r="B80" s="365" t="s">
        <v>356</v>
      </c>
      <c r="C80" s="365"/>
      <c r="D80" s="365"/>
      <c r="E80" s="37"/>
      <c r="F80" s="7"/>
      <c r="G80" s="7"/>
      <c r="H80" s="7"/>
      <c r="I80" s="7"/>
      <c r="J80" s="7"/>
    </row>
    <row r="81" spans="2:10">
      <c r="B81" s="1" t="s">
        <v>337</v>
      </c>
      <c r="C81" s="34">
        <v>0.2</v>
      </c>
      <c r="D81" s="9" t="s">
        <v>362</v>
      </c>
      <c r="E81" s="37"/>
      <c r="F81" s="7"/>
      <c r="G81" s="7"/>
      <c r="H81" s="7"/>
      <c r="I81" s="7"/>
      <c r="J81" s="7"/>
    </row>
    <row r="82" spans="2:10">
      <c r="C82" s="17"/>
      <c r="E82" s="37"/>
      <c r="F82" s="7"/>
      <c r="G82" s="7"/>
      <c r="H82" s="7"/>
      <c r="I82" s="7"/>
      <c r="J82" s="7"/>
    </row>
    <row r="83" spans="2:10">
      <c r="E83" s="37"/>
      <c r="F83" s="7"/>
      <c r="G83" s="7"/>
      <c r="H83" s="7"/>
      <c r="I83" s="7"/>
      <c r="J83" s="7"/>
    </row>
    <row r="84" spans="2:10">
      <c r="B84" s="1" t="s">
        <v>532</v>
      </c>
      <c r="C84" s="59">
        <f>IF(B37&lt;-1,B37,"0,00")*-1</f>
        <v>120322500</v>
      </c>
      <c r="D84" s="6">
        <f>C84</f>
        <v>120322500</v>
      </c>
      <c r="E84" s="37"/>
      <c r="F84" s="7"/>
      <c r="G84" s="7"/>
      <c r="H84" s="7"/>
      <c r="I84" s="7"/>
      <c r="J84" s="7"/>
    </row>
    <row r="85" spans="2:10">
      <c r="B85" s="1" t="s">
        <v>339</v>
      </c>
      <c r="C85" s="59">
        <f>IF(C37&lt;-1,C37,"0,00")*-1</f>
        <v>105369118.29333353</v>
      </c>
      <c r="D85" s="6">
        <f>C85/(1+$C$81)^1</f>
        <v>87807598.577777952</v>
      </c>
      <c r="E85" s="37"/>
      <c r="F85" s="7"/>
      <c r="G85" s="7"/>
      <c r="H85" s="7"/>
      <c r="I85" s="7"/>
      <c r="J85" s="7"/>
    </row>
    <row r="86" spans="2:10">
      <c r="B86" s="1" t="s">
        <v>340</v>
      </c>
      <c r="C86" s="59">
        <f>IF(D37&lt;-1,D37,"0,00")*-1</f>
        <v>0</v>
      </c>
      <c r="D86" s="6">
        <f>C86/(1+$C$81)^2</f>
        <v>0</v>
      </c>
      <c r="E86" s="37"/>
      <c r="F86" s="7"/>
      <c r="G86" s="7"/>
      <c r="H86" s="7"/>
      <c r="I86" s="7"/>
      <c r="J86" s="7"/>
    </row>
    <row r="87" spans="2:10">
      <c r="B87" s="1" t="s">
        <v>341</v>
      </c>
      <c r="C87" s="59">
        <f>IF(E37&lt;-1,E37,"0,00")*-1</f>
        <v>0</v>
      </c>
      <c r="D87" s="6">
        <f>C87/(1+$C$81)^3</f>
        <v>0</v>
      </c>
      <c r="E87" s="37"/>
      <c r="F87" s="7"/>
      <c r="G87" s="7"/>
      <c r="H87" s="7"/>
      <c r="I87" s="7"/>
      <c r="J87" s="7"/>
    </row>
    <row r="88" spans="2:10">
      <c r="B88" s="1" t="s">
        <v>342</v>
      </c>
      <c r="C88" s="59">
        <f>IF(F37&lt;-1,F37,"0,00")*-1</f>
        <v>0</v>
      </c>
      <c r="D88" s="6">
        <f>C88/(1+$C$81)^4</f>
        <v>0</v>
      </c>
      <c r="E88" s="37"/>
      <c r="F88" s="7"/>
      <c r="G88" s="7"/>
      <c r="H88" s="7"/>
      <c r="I88" s="7"/>
      <c r="J88" s="7"/>
    </row>
    <row r="89" spans="2:10">
      <c r="B89" s="1" t="s">
        <v>343</v>
      </c>
      <c r="C89" s="59">
        <f>IF(G37&lt;-1,G37,"0,00")*-1</f>
        <v>0</v>
      </c>
      <c r="D89" s="6">
        <f>C89/(1+$C$81)^5</f>
        <v>0</v>
      </c>
      <c r="E89" s="37"/>
      <c r="F89" s="7"/>
      <c r="G89" s="7"/>
      <c r="H89" s="7"/>
      <c r="I89" s="7"/>
      <c r="J89" s="7"/>
    </row>
    <row r="90" spans="2:10">
      <c r="C90" s="59"/>
      <c r="D90" s="6"/>
      <c r="E90" s="37"/>
      <c r="F90" s="7"/>
      <c r="G90" s="7"/>
      <c r="H90" s="7"/>
      <c r="I90" s="7"/>
      <c r="J90" s="7"/>
    </row>
    <row r="91" spans="2:10">
      <c r="C91" s="59"/>
      <c r="D91" s="6"/>
      <c r="E91" s="37"/>
      <c r="F91" s="7"/>
      <c r="G91" s="7"/>
      <c r="H91" s="7"/>
      <c r="I91" s="7"/>
      <c r="J91" s="7"/>
    </row>
    <row r="92" spans="2:10" ht="15.75">
      <c r="C92" s="36" t="s">
        <v>357</v>
      </c>
      <c r="D92" s="6">
        <f>SUM(D84:D90)</f>
        <v>208130098.57777795</v>
      </c>
      <c r="E92" s="37"/>
      <c r="F92" s="7"/>
      <c r="G92" s="7"/>
      <c r="H92" s="7"/>
      <c r="I92" s="7"/>
      <c r="J92" s="7"/>
    </row>
    <row r="93" spans="2:10" ht="15.75">
      <c r="B93" s="60"/>
      <c r="C93" s="61"/>
      <c r="D93" s="62"/>
      <c r="E93" s="37"/>
      <c r="F93" s="7"/>
      <c r="G93" s="7"/>
      <c r="H93" s="7"/>
      <c r="I93" s="7"/>
      <c r="J93" s="7"/>
    </row>
    <row r="94" spans="2:10" ht="15.75">
      <c r="B94" s="65" t="s">
        <v>358</v>
      </c>
      <c r="C94" s="61" t="s">
        <v>363</v>
      </c>
      <c r="D94" s="66" t="s">
        <v>357</v>
      </c>
      <c r="E94" s="37"/>
      <c r="F94" s="7"/>
      <c r="G94" s="7"/>
      <c r="H94" s="7"/>
      <c r="I94" s="7"/>
      <c r="J94" s="7"/>
    </row>
    <row r="95" spans="2:10">
      <c r="D95" s="62"/>
      <c r="E95" s="37"/>
      <c r="F95" s="7"/>
      <c r="G95" s="7"/>
      <c r="H95" s="7"/>
      <c r="I95" s="7"/>
      <c r="J95" s="7"/>
    </row>
    <row r="96" spans="2:10" ht="15.75">
      <c r="B96" s="64" t="s">
        <v>358</v>
      </c>
      <c r="C96" s="67">
        <f>D75-D92</f>
        <v>87117220.198082596</v>
      </c>
      <c r="D96" s="62"/>
      <c r="E96" s="37"/>
      <c r="F96" s="7"/>
      <c r="G96" s="7"/>
      <c r="H96" s="7"/>
      <c r="I96" s="7"/>
      <c r="J96" s="7"/>
    </row>
    <row r="97" spans="2:10" ht="15.75">
      <c r="B97" s="60"/>
      <c r="C97" s="61"/>
      <c r="D97" s="62"/>
      <c r="E97" s="37"/>
      <c r="F97" s="7"/>
      <c r="G97" s="7"/>
      <c r="H97" s="7"/>
      <c r="I97" s="7"/>
      <c r="J97" s="7"/>
    </row>
    <row r="98" spans="2:10" ht="15.75">
      <c r="B98" s="60"/>
      <c r="C98" s="61"/>
      <c r="D98" s="62"/>
      <c r="E98" s="37"/>
      <c r="F98" s="7"/>
      <c r="G98" s="7"/>
      <c r="H98" s="7"/>
      <c r="I98" s="7"/>
      <c r="J98" s="7"/>
    </row>
    <row r="99" spans="2:10" ht="15.75">
      <c r="C99" s="36"/>
      <c r="D99" s="4"/>
      <c r="E99" s="37"/>
      <c r="F99" s="7"/>
      <c r="G99" s="7"/>
      <c r="H99" s="7"/>
      <c r="I99" s="7"/>
      <c r="J99" s="7"/>
    </row>
    <row r="100" spans="2:10">
      <c r="B100" s="366" t="s">
        <v>335</v>
      </c>
      <c r="C100" s="366"/>
      <c r="D100" s="366"/>
      <c r="E100" s="32"/>
      <c r="F100" s="7"/>
      <c r="G100" s="7"/>
      <c r="H100" s="7"/>
      <c r="I100" s="7"/>
      <c r="J100" s="7"/>
    </row>
    <row r="101" spans="2:10" ht="15.75">
      <c r="C101" s="14"/>
      <c r="D101" s="4"/>
      <c r="E101" s="38"/>
      <c r="F101" s="7"/>
      <c r="G101" s="7"/>
      <c r="H101" s="7"/>
      <c r="I101" s="7"/>
      <c r="J101" s="7"/>
    </row>
    <row r="102" spans="2:10" ht="15.75">
      <c r="B102" s="362" t="s">
        <v>333</v>
      </c>
      <c r="C102" s="362"/>
      <c r="D102" s="11"/>
      <c r="E102" s="32"/>
      <c r="F102" s="7"/>
      <c r="G102" s="7"/>
      <c r="H102" s="7"/>
      <c r="I102" s="7"/>
      <c r="J102" s="7"/>
    </row>
    <row r="103" spans="2:10" ht="15.75">
      <c r="B103" s="362"/>
      <c r="C103" s="362"/>
      <c r="D103" s="11"/>
      <c r="E103" s="32"/>
      <c r="F103" s="7"/>
      <c r="G103" s="7"/>
      <c r="H103" s="7"/>
      <c r="I103" s="7"/>
      <c r="J103" s="7"/>
    </row>
    <row r="104" spans="2:10" ht="15.75">
      <c r="B104" s="365" t="s">
        <v>344</v>
      </c>
      <c r="C104" s="365"/>
      <c r="D104" s="39"/>
      <c r="E104" s="32"/>
      <c r="F104" s="7"/>
      <c r="G104" s="7"/>
      <c r="H104" s="7"/>
      <c r="I104" s="7"/>
      <c r="J104" s="7"/>
    </row>
    <row r="105" spans="2:10" ht="15.75">
      <c r="B105" s="33"/>
      <c r="C105" s="33"/>
      <c r="D105" s="33"/>
      <c r="E105" s="32"/>
      <c r="F105" s="7"/>
      <c r="G105" s="7"/>
      <c r="H105" s="7"/>
      <c r="I105" s="7"/>
      <c r="J105" s="7"/>
    </row>
    <row r="106" spans="2:10">
      <c r="B106" s="1" t="s">
        <v>338</v>
      </c>
      <c r="D106" s="17"/>
      <c r="E106" s="32"/>
      <c r="F106" s="7"/>
      <c r="G106" s="7"/>
      <c r="H106" s="7"/>
      <c r="I106" s="7"/>
      <c r="J106" s="7"/>
    </row>
    <row r="107" spans="2:10">
      <c r="B107" s="1" t="s">
        <v>339</v>
      </c>
      <c r="C107" s="6">
        <f>B37</f>
        <v>-120322500</v>
      </c>
      <c r="D107" s="17"/>
      <c r="E107" s="32"/>
      <c r="F107" s="7"/>
      <c r="G107" s="7"/>
      <c r="H107" s="7"/>
      <c r="I107" s="7"/>
      <c r="J107" s="7"/>
    </row>
    <row r="108" spans="2:10">
      <c r="B108" s="1" t="s">
        <v>340</v>
      </c>
      <c r="C108" s="6">
        <f>C37</f>
        <v>-105369118.29333353</v>
      </c>
      <c r="D108" s="17"/>
      <c r="E108" s="32"/>
      <c r="F108" s="7"/>
      <c r="G108" s="7"/>
      <c r="H108" s="7"/>
      <c r="I108" s="7"/>
      <c r="J108" s="7"/>
    </row>
    <row r="109" spans="2:10">
      <c r="B109" s="1" t="s">
        <v>341</v>
      </c>
      <c r="C109" s="6">
        <f>D37</f>
        <v>88034623.213929653</v>
      </c>
      <c r="D109" s="17"/>
      <c r="E109" s="32"/>
      <c r="F109" s="7"/>
      <c r="G109" s="7"/>
      <c r="H109" s="7"/>
      <c r="I109" s="7"/>
      <c r="J109" s="7"/>
    </row>
    <row r="110" spans="2:10">
      <c r="B110" s="1" t="s">
        <v>342</v>
      </c>
      <c r="C110" s="6">
        <f>E37</f>
        <v>88411828.224642754</v>
      </c>
      <c r="D110" s="17"/>
      <c r="E110" s="32"/>
      <c r="F110" s="7"/>
      <c r="G110" s="7"/>
      <c r="H110" s="7"/>
      <c r="I110" s="7"/>
      <c r="J110" s="7"/>
    </row>
    <row r="111" spans="2:10">
      <c r="B111" s="1" t="s">
        <v>343</v>
      </c>
      <c r="C111" s="6">
        <f>F37</f>
        <v>89671136.989314079</v>
      </c>
      <c r="D111" s="17"/>
      <c r="E111" s="32"/>
      <c r="F111" s="7"/>
      <c r="G111" s="7"/>
      <c r="H111" s="7"/>
      <c r="I111" s="7"/>
      <c r="J111" s="7"/>
    </row>
    <row r="112" spans="2:10">
      <c r="B112" s="1" t="s">
        <v>369</v>
      </c>
      <c r="C112" s="6">
        <f>G37</f>
        <v>347627582.31201649</v>
      </c>
      <c r="D112" s="3"/>
      <c r="E112" s="32"/>
      <c r="F112" s="7"/>
      <c r="G112" s="7"/>
      <c r="H112" s="7"/>
      <c r="I112" s="7"/>
      <c r="J112" s="7"/>
    </row>
    <row r="113" spans="1:10">
      <c r="C113" s="6"/>
      <c r="D113" s="3"/>
      <c r="E113" s="32"/>
      <c r="F113" s="7"/>
      <c r="G113" s="7"/>
      <c r="H113" s="7"/>
      <c r="I113" s="7"/>
      <c r="J113" s="7"/>
    </row>
    <row r="114" spans="1:10" ht="15.75">
      <c r="B114" s="13" t="s">
        <v>318</v>
      </c>
      <c r="C114" s="18">
        <f>IRR(C107:C112)</f>
        <v>0.32998222738322674</v>
      </c>
      <c r="D114" s="3"/>
      <c r="E114" s="32"/>
      <c r="F114" s="7"/>
      <c r="G114" s="7"/>
      <c r="H114" s="7"/>
      <c r="I114" s="7"/>
      <c r="J114" s="7"/>
    </row>
    <row r="115" spans="1:10">
      <c r="B115" s="10" t="s">
        <v>335</v>
      </c>
      <c r="C115" s="10"/>
      <c r="D115" s="10"/>
      <c r="E115" s="32"/>
      <c r="F115" s="7"/>
      <c r="G115" s="7"/>
      <c r="H115" s="7"/>
      <c r="I115" s="7"/>
      <c r="J115" s="7"/>
    </row>
    <row r="116" spans="1:10">
      <c r="C116" s="40"/>
      <c r="E116" s="32"/>
      <c r="F116" s="7"/>
      <c r="G116" s="7"/>
      <c r="H116" s="7"/>
      <c r="I116" s="7"/>
      <c r="J116" s="7"/>
    </row>
    <row r="117" spans="1:10">
      <c r="A117" s="32"/>
      <c r="B117" s="32"/>
      <c r="C117" s="32"/>
      <c r="D117" s="32"/>
      <c r="E117" s="32"/>
      <c r="F117" s="7"/>
      <c r="G117" s="7"/>
      <c r="H117" s="7"/>
      <c r="I117" s="7"/>
      <c r="J117" s="7"/>
    </row>
    <row r="118" spans="1:10">
      <c r="A118" s="32"/>
      <c r="B118" s="32"/>
      <c r="C118" s="32"/>
      <c r="D118" s="32"/>
      <c r="E118" s="32"/>
      <c r="F118" s="7"/>
      <c r="G118" s="7"/>
      <c r="H118" s="7"/>
      <c r="I118" s="7"/>
      <c r="J118" s="7"/>
    </row>
    <row r="119" spans="1:10" ht="15.75">
      <c r="A119" s="32"/>
      <c r="B119" s="362" t="s">
        <v>336</v>
      </c>
      <c r="C119" s="362"/>
      <c r="D119" s="362"/>
      <c r="E119" s="362"/>
      <c r="F119" s="7"/>
      <c r="G119" s="7"/>
      <c r="H119" s="7"/>
      <c r="I119" s="7"/>
      <c r="J119" s="7"/>
    </row>
    <row r="120" spans="1:10" ht="15.75">
      <c r="A120" s="32"/>
      <c r="B120" s="362"/>
      <c r="C120" s="362"/>
      <c r="D120" s="362"/>
      <c r="E120" s="362"/>
      <c r="F120" s="7"/>
      <c r="G120" s="7"/>
      <c r="H120" s="7"/>
      <c r="I120" s="7"/>
      <c r="J120" s="7"/>
    </row>
    <row r="121" spans="1:10" ht="15.75">
      <c r="A121" s="32"/>
      <c r="B121" s="362" t="s">
        <v>346</v>
      </c>
      <c r="C121" s="362"/>
      <c r="D121" s="362"/>
      <c r="E121" s="362"/>
      <c r="F121" s="7"/>
      <c r="G121" s="7"/>
      <c r="H121" s="7"/>
      <c r="I121" s="7"/>
      <c r="J121" s="7"/>
    </row>
    <row r="122" spans="1:10" ht="15.75">
      <c r="A122" s="32"/>
      <c r="B122" s="362" t="s">
        <v>347</v>
      </c>
      <c r="C122" s="362"/>
      <c r="D122" s="362"/>
      <c r="E122" s="362"/>
      <c r="F122" s="7"/>
      <c r="G122" s="7"/>
      <c r="H122" s="7"/>
      <c r="I122" s="7"/>
      <c r="J122" s="7"/>
    </row>
    <row r="123" spans="1:10">
      <c r="F123" s="7"/>
      <c r="G123" s="7"/>
      <c r="H123" s="7"/>
      <c r="I123" s="7"/>
      <c r="J123" s="7"/>
    </row>
    <row r="124" spans="1:10">
      <c r="B124" s="1" t="s">
        <v>348</v>
      </c>
      <c r="C124" s="17">
        <v>0.1</v>
      </c>
      <c r="E124" s="6"/>
      <c r="F124" s="7"/>
      <c r="G124" s="7"/>
      <c r="H124" s="7"/>
      <c r="I124" s="7"/>
      <c r="J124" s="7"/>
    </row>
    <row r="125" spans="1:10" ht="15.75">
      <c r="B125" s="2"/>
      <c r="C125" s="6"/>
      <c r="D125" s="41"/>
      <c r="E125" s="4"/>
      <c r="F125" s="7"/>
      <c r="G125" s="7"/>
      <c r="H125" s="7"/>
      <c r="I125" s="7"/>
      <c r="J125" s="7"/>
    </row>
    <row r="126" spans="1:10" ht="15.75">
      <c r="B126" s="2"/>
      <c r="C126" s="373" t="s">
        <v>359</v>
      </c>
      <c r="D126" s="375"/>
      <c r="E126" s="4">
        <f>D75</f>
        <v>295247318.77586055</v>
      </c>
      <c r="F126" s="7"/>
      <c r="G126" s="7"/>
      <c r="H126" s="7"/>
      <c r="I126" s="7"/>
      <c r="J126" s="7"/>
    </row>
    <row r="127" spans="1:10" ht="15" customHeight="1">
      <c r="C127" s="373" t="s">
        <v>360</v>
      </c>
      <c r="D127" s="375"/>
      <c r="E127" s="4">
        <f>D92</f>
        <v>208130098.57777795</v>
      </c>
      <c r="F127" s="7"/>
      <c r="G127" s="7"/>
      <c r="H127" s="7"/>
      <c r="I127" s="7"/>
      <c r="J127" s="7"/>
    </row>
    <row r="128" spans="1:10" ht="15.75">
      <c r="D128" s="2"/>
      <c r="E128" s="4"/>
      <c r="F128" s="7"/>
      <c r="G128" s="7"/>
      <c r="H128" s="7"/>
      <c r="I128" s="7"/>
      <c r="J128" s="7"/>
    </row>
    <row r="129" spans="1:10" ht="15.75">
      <c r="A129" s="42"/>
      <c r="B129" s="2" t="s">
        <v>349</v>
      </c>
      <c r="C129" s="4">
        <f>E126</f>
        <v>295247318.77586055</v>
      </c>
      <c r="D129" s="9" t="s">
        <v>350</v>
      </c>
      <c r="E129" s="43">
        <f>C129/C130</f>
        <v>1.4185709841747227</v>
      </c>
      <c r="F129" s="7"/>
      <c r="G129" s="7"/>
      <c r="H129" s="7"/>
      <c r="I129" s="7"/>
      <c r="J129" s="7"/>
    </row>
    <row r="130" spans="1:10" ht="15.75">
      <c r="B130" s="2" t="s">
        <v>351</v>
      </c>
      <c r="C130" s="4">
        <f>E127</f>
        <v>208130098.57777795</v>
      </c>
      <c r="F130" s="7"/>
      <c r="G130" s="7"/>
      <c r="H130" s="7"/>
      <c r="I130" s="7"/>
      <c r="J130" s="7"/>
    </row>
    <row r="131" spans="1:10" ht="15.75">
      <c r="B131" s="2"/>
      <c r="C131" s="4"/>
      <c r="F131" s="7"/>
      <c r="G131" s="7"/>
      <c r="H131" s="7"/>
      <c r="I131" s="7"/>
      <c r="J131" s="7"/>
    </row>
    <row r="132" spans="1:10" ht="15.75">
      <c r="B132" s="68" t="s">
        <v>361</v>
      </c>
      <c r="C132" s="6">
        <f>E129</f>
        <v>1.4185709841747227</v>
      </c>
      <c r="F132" s="7"/>
      <c r="G132" s="7"/>
      <c r="H132" s="7"/>
      <c r="I132" s="7"/>
      <c r="J132" s="7"/>
    </row>
    <row r="133" spans="1:10">
      <c r="B133" s="372" t="s">
        <v>335</v>
      </c>
      <c r="C133" s="372"/>
      <c r="D133" s="372"/>
      <c r="F133" s="7"/>
      <c r="G133" s="7"/>
      <c r="H133" s="7"/>
      <c r="I133" s="7"/>
      <c r="J133" s="7"/>
    </row>
    <row r="134" spans="1:10">
      <c r="B134" s="44"/>
      <c r="C134" s="44"/>
      <c r="D134" s="44"/>
      <c r="E134" s="44"/>
      <c r="F134" s="7"/>
      <c r="G134" s="7"/>
      <c r="H134" s="7"/>
      <c r="I134" s="7"/>
      <c r="J134" s="7"/>
    </row>
    <row r="135" spans="1:10">
      <c r="B135" s="44"/>
      <c r="C135" s="44"/>
      <c r="D135" s="44"/>
      <c r="E135" s="44"/>
      <c r="F135" s="7"/>
      <c r="G135" s="7"/>
      <c r="H135" s="7"/>
      <c r="I135" s="7"/>
      <c r="J135" s="7"/>
    </row>
    <row r="136" spans="1:10" ht="15.75">
      <c r="B136" s="373" t="s">
        <v>333</v>
      </c>
      <c r="C136" s="374"/>
      <c r="D136" s="374"/>
      <c r="E136" s="375"/>
      <c r="F136" s="7"/>
      <c r="G136" s="7"/>
      <c r="H136" s="7"/>
      <c r="I136" s="7"/>
      <c r="J136" s="7"/>
    </row>
    <row r="137" spans="1:10" ht="15.75">
      <c r="B137" s="362"/>
      <c r="C137" s="362"/>
      <c r="D137" s="362"/>
      <c r="E137" s="362"/>
      <c r="F137" s="7"/>
      <c r="G137" s="7"/>
      <c r="H137" s="7"/>
      <c r="I137" s="7"/>
      <c r="J137" s="7"/>
    </row>
    <row r="138" spans="1:10">
      <c r="A138" s="32"/>
      <c r="B138" s="376" t="s">
        <v>533</v>
      </c>
      <c r="C138" s="376"/>
      <c r="D138" s="376"/>
      <c r="E138" s="376"/>
      <c r="H138" s="7"/>
      <c r="I138" s="7"/>
      <c r="J138" s="7"/>
    </row>
    <row r="139" spans="1:10">
      <c r="B139" s="376"/>
      <c r="C139" s="376"/>
      <c r="D139" s="376"/>
      <c r="E139" s="376"/>
      <c r="H139" s="7"/>
      <c r="I139" s="7"/>
      <c r="J139" s="7"/>
    </row>
    <row r="140" spans="1:10">
      <c r="H140" s="7"/>
      <c r="I140" s="7"/>
      <c r="J140" s="7"/>
    </row>
    <row r="141" spans="1:10">
      <c r="B141" s="246" t="s">
        <v>534</v>
      </c>
      <c r="C141" s="45" t="s">
        <v>352</v>
      </c>
      <c r="D141" s="45" t="s">
        <v>318</v>
      </c>
      <c r="E141" s="46" t="s">
        <v>353</v>
      </c>
      <c r="H141" s="7"/>
      <c r="I141" s="7"/>
      <c r="J141" s="7"/>
    </row>
    <row r="142" spans="1:10">
      <c r="B142" s="31"/>
      <c r="C142" s="45"/>
      <c r="D142" s="31"/>
      <c r="E142" s="47"/>
      <c r="F142" s="7"/>
      <c r="I142" s="7"/>
      <c r="J142" s="7"/>
    </row>
    <row r="143" spans="1:10">
      <c r="B143" s="48">
        <v>189</v>
      </c>
      <c r="C143" s="49">
        <v>87117220</v>
      </c>
      <c r="D143" s="50">
        <v>0.33</v>
      </c>
      <c r="E143" s="51">
        <v>1.42</v>
      </c>
      <c r="F143" s="7"/>
      <c r="I143" s="7"/>
      <c r="J143" s="7"/>
    </row>
    <row r="144" spans="1:10">
      <c r="B144" s="48">
        <v>160</v>
      </c>
      <c r="C144" s="35">
        <v>39250462</v>
      </c>
      <c r="D144" s="50">
        <v>0.2626</v>
      </c>
      <c r="E144" s="51">
        <v>1.2</v>
      </c>
      <c r="F144" s="7"/>
      <c r="I144" s="7"/>
      <c r="J144" s="7"/>
    </row>
    <row r="145" spans="2:10">
      <c r="B145" s="48">
        <v>150</v>
      </c>
      <c r="C145" s="49">
        <v>22744683</v>
      </c>
      <c r="D145" s="50">
        <v>0.23719999999999999</v>
      </c>
      <c r="E145" s="51">
        <v>1.1100000000000001</v>
      </c>
      <c r="F145" s="7"/>
      <c r="G145" s="7"/>
      <c r="H145" s="7"/>
      <c r="I145" s="7"/>
      <c r="J145" s="7"/>
    </row>
    <row r="146" spans="2:10">
      <c r="B146" s="48">
        <v>140</v>
      </c>
      <c r="C146" s="49">
        <v>6238904</v>
      </c>
      <c r="D146" s="50">
        <v>0.21049999999999999</v>
      </c>
      <c r="E146" s="51">
        <v>1.03</v>
      </c>
      <c r="F146" s="7"/>
      <c r="G146" s="7"/>
      <c r="H146" s="7"/>
      <c r="I146" s="7"/>
      <c r="J146" s="7"/>
    </row>
    <row r="147" spans="2:10" ht="15.75">
      <c r="B147" s="52">
        <v>137</v>
      </c>
      <c r="C147" s="53">
        <v>1287170</v>
      </c>
      <c r="D147" s="54">
        <v>0.20219999999999999</v>
      </c>
      <c r="E147" s="55">
        <v>1.01</v>
      </c>
      <c r="F147" s="7"/>
      <c r="G147" s="7"/>
      <c r="H147" s="7"/>
      <c r="I147" s="7"/>
      <c r="J147" s="7"/>
    </row>
    <row r="148" spans="2:10">
      <c r="B148" s="48">
        <v>130</v>
      </c>
      <c r="C148" s="49">
        <v>-10266875</v>
      </c>
      <c r="D148" s="50">
        <v>0.18229999999999999</v>
      </c>
      <c r="E148" s="51">
        <v>0.95</v>
      </c>
      <c r="F148" s="7"/>
      <c r="G148" s="7"/>
      <c r="H148" s="7"/>
      <c r="I148" s="7"/>
      <c r="J148" s="7"/>
    </row>
    <row r="149" spans="2:10" ht="15.75">
      <c r="B149" s="370" t="s">
        <v>332</v>
      </c>
      <c r="C149" s="370"/>
      <c r="D149" s="22"/>
      <c r="E149" s="56"/>
      <c r="F149" s="7"/>
      <c r="G149" s="7"/>
      <c r="H149" s="7"/>
      <c r="I149" s="7"/>
      <c r="J149" s="7"/>
    </row>
    <row r="150" spans="2:10">
      <c r="B150" s="371"/>
      <c r="C150" s="371"/>
      <c r="D150" s="371"/>
      <c r="E150" s="371"/>
      <c r="F150" s="7"/>
      <c r="G150" s="7"/>
      <c r="H150" s="7"/>
      <c r="I150" s="7"/>
      <c r="J150" s="7"/>
    </row>
    <row r="151" spans="2:10">
      <c r="B151" s="377" t="s">
        <v>537</v>
      </c>
      <c r="C151" s="377"/>
      <c r="D151" s="377"/>
      <c r="E151" s="377"/>
      <c r="F151" s="7"/>
      <c r="G151" s="7"/>
      <c r="H151" s="7"/>
      <c r="I151" s="7"/>
      <c r="J151" s="7"/>
    </row>
    <row r="152" spans="2:10">
      <c r="B152" s="377"/>
      <c r="C152" s="377"/>
      <c r="D152" s="377"/>
      <c r="E152" s="377"/>
      <c r="F152" s="7"/>
      <c r="G152" s="7"/>
      <c r="H152" s="7"/>
      <c r="I152" s="7"/>
      <c r="J152" s="7"/>
    </row>
    <row r="153" spans="2:10">
      <c r="B153" s="377"/>
      <c r="C153" s="377"/>
      <c r="D153" s="377"/>
      <c r="E153" s="377"/>
      <c r="F153" s="7"/>
      <c r="G153" s="7"/>
      <c r="H153" s="7"/>
      <c r="I153" s="7"/>
      <c r="J153" s="7"/>
    </row>
    <row r="154" spans="2:10">
      <c r="B154" s="377"/>
      <c r="C154" s="377"/>
      <c r="D154" s="377"/>
      <c r="E154" s="377"/>
      <c r="F154" s="7"/>
      <c r="G154" s="7"/>
      <c r="H154" s="7"/>
      <c r="I154" s="7"/>
      <c r="J154" s="7"/>
    </row>
    <row r="155" spans="2:10">
      <c r="B155" s="377"/>
      <c r="C155" s="377"/>
      <c r="D155" s="377"/>
      <c r="E155" s="377"/>
      <c r="F155" s="7"/>
      <c r="G155" s="7"/>
      <c r="H155" s="7"/>
      <c r="I155" s="7"/>
      <c r="J155" s="7"/>
    </row>
    <row r="156" spans="2:10">
      <c r="B156" s="57"/>
      <c r="C156" s="57"/>
      <c r="D156" s="57"/>
      <c r="E156" s="57"/>
      <c r="F156" s="7"/>
      <c r="G156" s="7"/>
      <c r="H156" s="7"/>
      <c r="I156" s="7"/>
      <c r="J156" s="7"/>
    </row>
    <row r="157" spans="2:10">
      <c r="B157" s="57"/>
      <c r="C157" s="57"/>
      <c r="D157" s="57"/>
      <c r="E157" s="57"/>
      <c r="F157" s="7"/>
      <c r="G157" s="7"/>
      <c r="H157" s="7"/>
      <c r="I157" s="7"/>
      <c r="J157" s="7"/>
    </row>
    <row r="158" spans="2:10">
      <c r="B158" s="57"/>
      <c r="C158" s="57"/>
      <c r="D158" s="57"/>
      <c r="E158" s="57"/>
      <c r="F158" s="7"/>
      <c r="G158" s="7"/>
      <c r="H158" s="7"/>
      <c r="I158" s="7"/>
      <c r="J158" s="7"/>
    </row>
    <row r="159" spans="2:10" ht="15.75">
      <c r="B159" s="362" t="s">
        <v>333</v>
      </c>
      <c r="C159" s="362"/>
      <c r="D159" s="362"/>
      <c r="E159" s="362"/>
      <c r="F159" s="7"/>
      <c r="G159" s="7"/>
      <c r="H159" s="7"/>
      <c r="I159" s="7"/>
      <c r="J159" s="7"/>
    </row>
    <row r="160" spans="2:10" ht="15.75">
      <c r="B160" s="362"/>
      <c r="C160" s="362"/>
      <c r="D160" s="362"/>
      <c r="E160" s="362"/>
      <c r="F160" s="49"/>
      <c r="G160" s="35"/>
      <c r="H160" s="7"/>
      <c r="I160" s="7"/>
      <c r="J160" s="7"/>
    </row>
    <row r="161" spans="2:10">
      <c r="B161" s="376" t="s">
        <v>535</v>
      </c>
      <c r="C161" s="376"/>
      <c r="D161" s="376"/>
      <c r="E161" s="376"/>
      <c r="F161" s="247"/>
      <c r="G161" s="7"/>
      <c r="H161" s="7"/>
      <c r="I161" s="7"/>
      <c r="J161" s="7"/>
    </row>
    <row r="162" spans="2:10">
      <c r="B162" s="376"/>
      <c r="C162" s="376"/>
      <c r="D162" s="376"/>
      <c r="E162" s="376"/>
      <c r="F162" s="7"/>
      <c r="G162" s="49"/>
      <c r="H162" s="7"/>
      <c r="I162" s="7"/>
      <c r="J162" s="7"/>
    </row>
    <row r="163" spans="2:10">
      <c r="F163" s="7"/>
      <c r="G163" s="247"/>
      <c r="H163" s="7"/>
      <c r="I163" s="7"/>
      <c r="J163" s="7"/>
    </row>
    <row r="164" spans="2:10">
      <c r="B164" s="246" t="s">
        <v>536</v>
      </c>
      <c r="C164" s="45" t="s">
        <v>352</v>
      </c>
      <c r="D164" s="45" t="s">
        <v>318</v>
      </c>
      <c r="E164" s="46" t="s">
        <v>353</v>
      </c>
      <c r="F164" s="7"/>
      <c r="G164" s="7"/>
      <c r="H164" s="7"/>
      <c r="I164" s="7"/>
      <c r="J164" s="7"/>
    </row>
    <row r="165" spans="2:10">
      <c r="B165" s="31"/>
      <c r="C165" s="45"/>
      <c r="D165" s="31"/>
      <c r="E165" s="47"/>
      <c r="F165" s="7"/>
      <c r="G165" s="7"/>
      <c r="H165" s="7"/>
      <c r="I165" s="7"/>
      <c r="J165" s="7"/>
    </row>
    <row r="166" spans="2:10">
      <c r="B166" s="48">
        <v>1083104</v>
      </c>
      <c r="C166" s="49">
        <v>87117260</v>
      </c>
      <c r="D166" s="50">
        <f>D143</f>
        <v>0.33</v>
      </c>
      <c r="E166" s="51">
        <f>E143</f>
        <v>1.42</v>
      </c>
      <c r="F166" s="7"/>
      <c r="G166" s="7"/>
      <c r="H166" s="7"/>
      <c r="I166" s="7"/>
      <c r="J166" s="7"/>
    </row>
    <row r="167" spans="2:10">
      <c r="B167" s="48">
        <v>1070000</v>
      </c>
      <c r="C167" s="35">
        <v>28916632</v>
      </c>
      <c r="D167" s="50">
        <v>0.24229999999999999</v>
      </c>
      <c r="E167" s="51">
        <v>1.1299999999999999</v>
      </c>
      <c r="F167" s="7"/>
      <c r="G167" s="49"/>
      <c r="H167" s="7"/>
      <c r="I167" s="7"/>
      <c r="J167" s="7"/>
    </row>
    <row r="168" spans="2:10">
      <c r="B168" s="48">
        <v>1067000</v>
      </c>
      <c r="C168" s="49">
        <v>15592313</v>
      </c>
      <c r="D168" s="50">
        <v>0.22270000000000001</v>
      </c>
      <c r="E168" s="51">
        <v>1.07</v>
      </c>
      <c r="F168" s="7"/>
      <c r="G168" s="247"/>
      <c r="H168" s="7"/>
      <c r="I168" s="7"/>
      <c r="J168" s="7"/>
    </row>
    <row r="169" spans="2:10">
      <c r="B169" s="48">
        <v>1065000</v>
      </c>
      <c r="C169" s="49">
        <v>6709433</v>
      </c>
      <c r="D169" s="50">
        <v>0.2097</v>
      </c>
      <c r="E169" s="51">
        <v>1.03</v>
      </c>
      <c r="F169" s="7"/>
      <c r="G169" s="7"/>
      <c r="H169" s="7"/>
      <c r="I169" s="7"/>
      <c r="J169" s="7"/>
    </row>
    <row r="170" spans="2:10" ht="15.75">
      <c r="B170" s="52">
        <v>1063500</v>
      </c>
      <c r="C170" s="53">
        <v>0</v>
      </c>
      <c r="D170" s="54">
        <v>0.2</v>
      </c>
      <c r="E170" s="55">
        <v>1</v>
      </c>
      <c r="F170" s="7"/>
      <c r="G170" s="7"/>
      <c r="H170" s="7"/>
      <c r="I170" s="7"/>
      <c r="J170" s="7"/>
    </row>
    <row r="171" spans="2:10">
      <c r="B171" s="48">
        <v>1060000</v>
      </c>
      <c r="C171" s="49">
        <v>15497767</v>
      </c>
      <c r="D171" s="50">
        <v>0.1777</v>
      </c>
      <c r="E171" s="51">
        <v>0.93</v>
      </c>
      <c r="F171" s="7"/>
      <c r="G171" s="7"/>
      <c r="H171" s="7"/>
      <c r="I171" s="7"/>
      <c r="J171" s="7"/>
    </row>
    <row r="172" spans="2:10" ht="15.75">
      <c r="B172" s="370" t="s">
        <v>332</v>
      </c>
      <c r="C172" s="370"/>
      <c r="D172" s="22"/>
      <c r="E172" s="56"/>
      <c r="F172" s="7"/>
      <c r="G172" s="7"/>
      <c r="H172" s="7"/>
      <c r="I172" s="7"/>
      <c r="J172" s="7"/>
    </row>
    <row r="173" spans="2:10">
      <c r="B173" s="377" t="s">
        <v>538</v>
      </c>
      <c r="C173" s="377"/>
      <c r="D173" s="377"/>
      <c r="E173" s="377"/>
      <c r="F173" s="7"/>
      <c r="G173" s="7"/>
      <c r="H173" s="7"/>
      <c r="I173" s="7"/>
      <c r="J173" s="7"/>
    </row>
    <row r="174" spans="2:10">
      <c r="B174" s="378"/>
      <c r="C174" s="378"/>
      <c r="D174" s="378"/>
      <c r="E174" s="378"/>
      <c r="F174" s="7"/>
      <c r="G174" s="7"/>
      <c r="H174" s="7"/>
      <c r="I174" s="7"/>
      <c r="J174" s="7"/>
    </row>
    <row r="175" spans="2:10">
      <c r="B175" s="378"/>
      <c r="C175" s="378"/>
      <c r="D175" s="378"/>
      <c r="E175" s="378"/>
      <c r="F175" s="7"/>
      <c r="G175" s="7"/>
      <c r="H175" s="7"/>
      <c r="I175" s="7"/>
      <c r="J175" s="7"/>
    </row>
    <row r="176" spans="2:10">
      <c r="B176" s="378"/>
      <c r="C176" s="378"/>
      <c r="D176" s="378"/>
      <c r="E176" s="378"/>
      <c r="F176" s="7"/>
      <c r="G176" s="7"/>
      <c r="H176" s="7"/>
      <c r="I176" s="7"/>
      <c r="J176" s="7"/>
    </row>
    <row r="177" spans="2:10">
      <c r="B177" s="57"/>
      <c r="C177" s="57"/>
      <c r="D177" s="57"/>
      <c r="E177" s="57"/>
      <c r="F177" s="7"/>
      <c r="G177" s="7"/>
      <c r="H177" s="7"/>
      <c r="I177" s="7"/>
      <c r="J177" s="7"/>
    </row>
    <row r="178" spans="2:10">
      <c r="B178" s="57"/>
      <c r="C178" s="57"/>
      <c r="D178" s="57"/>
      <c r="E178" s="57"/>
      <c r="F178" s="7"/>
      <c r="G178" s="7"/>
      <c r="H178" s="7"/>
      <c r="I178" s="7"/>
      <c r="J178" s="7"/>
    </row>
  </sheetData>
  <mergeCells count="31">
    <mergeCell ref="B161:E162"/>
    <mergeCell ref="B172:C172"/>
    <mergeCell ref="B173:E176"/>
    <mergeCell ref="B80:D80"/>
    <mergeCell ref="C126:D126"/>
    <mergeCell ref="C127:D127"/>
    <mergeCell ref="B151:E155"/>
    <mergeCell ref="B159:E159"/>
    <mergeCell ref="B122:E122"/>
    <mergeCell ref="B138:E139"/>
    <mergeCell ref="B137:E137"/>
    <mergeCell ref="B160:E160"/>
    <mergeCell ref="B121:E121"/>
    <mergeCell ref="B149:C149"/>
    <mergeCell ref="B150:E150"/>
    <mergeCell ref="B133:D133"/>
    <mergeCell ref="B136:E136"/>
    <mergeCell ref="A1:H1"/>
    <mergeCell ref="A3:H3"/>
    <mergeCell ref="B42:G42"/>
    <mergeCell ref="B43:G43"/>
    <mergeCell ref="B103:C103"/>
    <mergeCell ref="B104:C104"/>
    <mergeCell ref="B102:C102"/>
    <mergeCell ref="B119:E119"/>
    <mergeCell ref="B120:E120"/>
    <mergeCell ref="B60:E60"/>
    <mergeCell ref="B62:D62"/>
    <mergeCell ref="B63:D63"/>
    <mergeCell ref="B64:D64"/>
    <mergeCell ref="B100:D100"/>
  </mergeCells>
  <phoneticPr fontId="3" type="noConversion"/>
  <pageMargins left="0.75" right="0.75" top="1" bottom="1" header="0" footer="0"/>
  <pageSetup paperSize="9"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dimension ref="A2:L722"/>
  <sheetViews>
    <sheetView showGridLines="0" zoomScale="70" zoomScaleNormal="70" workbookViewId="0">
      <selection activeCell="F34" sqref="F34"/>
    </sheetView>
  </sheetViews>
  <sheetFormatPr baseColWidth="10" defaultRowHeight="15" outlineLevelRow="1"/>
  <cols>
    <col min="1" max="1" width="56.7109375" style="26" customWidth="1"/>
    <col min="2" max="2" width="17" style="26" customWidth="1"/>
    <col min="3" max="3" width="21" style="26" customWidth="1"/>
    <col min="4" max="4" width="23.42578125" style="26" customWidth="1"/>
    <col min="5" max="5" width="20.5703125" style="26" customWidth="1"/>
    <col min="6" max="6" width="27" style="26" customWidth="1"/>
    <col min="7" max="7" width="18.42578125" style="26" customWidth="1"/>
    <col min="8" max="8" width="22" style="26" bestFit="1" customWidth="1"/>
    <col min="9" max="9" width="20.7109375" style="26" bestFit="1" customWidth="1"/>
    <col min="10" max="10" width="10.28515625" style="26" customWidth="1"/>
    <col min="11" max="11" width="11.42578125" style="26"/>
    <col min="12" max="12" width="12.7109375" style="26" bestFit="1" customWidth="1"/>
    <col min="13" max="13" width="11.42578125" style="26"/>
    <col min="14" max="14" width="12.85546875" style="26" bestFit="1" customWidth="1"/>
    <col min="15" max="16384" width="11.42578125" style="26"/>
  </cols>
  <sheetData>
    <row r="2" spans="1:8" ht="15.75">
      <c r="A2" s="379" t="s">
        <v>55</v>
      </c>
      <c r="B2" s="379"/>
      <c r="C2" s="379"/>
      <c r="D2" s="379"/>
      <c r="E2" s="379"/>
      <c r="F2" s="379"/>
      <c r="G2" s="379"/>
      <c r="H2" s="249"/>
    </row>
    <row r="3" spans="1:8" ht="15.75">
      <c r="A3" s="379" t="s">
        <v>543</v>
      </c>
      <c r="B3" s="379"/>
      <c r="C3" s="379"/>
      <c r="D3" s="379"/>
      <c r="E3" s="379"/>
      <c r="F3" s="379"/>
      <c r="G3" s="379"/>
      <c r="H3" s="249"/>
    </row>
    <row r="4" spans="1:8" ht="15.75">
      <c r="A4" s="379" t="s">
        <v>56</v>
      </c>
      <c r="B4" s="379"/>
      <c r="C4" s="379"/>
      <c r="D4" s="379"/>
      <c r="E4" s="379"/>
      <c r="F4" s="379"/>
      <c r="G4" s="379"/>
      <c r="H4" s="249"/>
    </row>
    <row r="5" spans="1:8" ht="15.75">
      <c r="A5" s="380" t="s">
        <v>57</v>
      </c>
      <c r="B5" s="380"/>
      <c r="C5" s="380"/>
      <c r="D5" s="380"/>
      <c r="E5" s="380"/>
      <c r="F5" s="380"/>
      <c r="G5" s="380"/>
      <c r="H5" s="249"/>
    </row>
    <row r="6" spans="1:8" ht="16.5" thickBot="1">
      <c r="A6" s="269"/>
      <c r="B6" s="270" t="s">
        <v>262</v>
      </c>
      <c r="C6" s="269"/>
      <c r="D6" s="269"/>
      <c r="E6" s="269"/>
      <c r="F6" s="269"/>
      <c r="G6" s="269"/>
    </row>
    <row r="7" spans="1:8" ht="16.5" thickBot="1">
      <c r="A7" s="30" t="s">
        <v>58</v>
      </c>
      <c r="C7" s="267" t="s">
        <v>59</v>
      </c>
      <c r="D7" s="267"/>
      <c r="E7" s="267"/>
      <c r="F7" s="267"/>
      <c r="G7" s="267"/>
      <c r="H7" s="249"/>
    </row>
    <row r="9" spans="1:8" ht="15.75">
      <c r="A9" s="286" t="s">
        <v>60</v>
      </c>
      <c r="B9" s="272">
        <v>0</v>
      </c>
      <c r="C9" s="272">
        <v>1</v>
      </c>
      <c r="D9" s="272">
        <v>2</v>
      </c>
      <c r="E9" s="272">
        <v>3</v>
      </c>
      <c r="F9" s="272">
        <v>4</v>
      </c>
      <c r="G9" s="272">
        <v>5</v>
      </c>
      <c r="H9" s="71"/>
    </row>
    <row r="11" spans="1:8">
      <c r="A11" s="26" t="s">
        <v>263</v>
      </c>
      <c r="C11" s="250">
        <f>+'VARIABLES DEL PROYECTO'!$D$5</f>
        <v>1</v>
      </c>
      <c r="D11" s="250">
        <f>+'VARIABLES DEL PROYECTO'!$D$5</f>
        <v>1</v>
      </c>
      <c r="E11" s="250">
        <f>+'VARIABLES DEL PROYECTO'!$D$5</f>
        <v>1</v>
      </c>
      <c r="F11" s="250">
        <f>+'VARIABLES DEL PROYECTO'!$D$5</f>
        <v>1</v>
      </c>
      <c r="G11" s="250">
        <f>+'VARIABLES DEL PROYECTO'!$D$5</f>
        <v>1</v>
      </c>
      <c r="H11" s="250"/>
    </row>
    <row r="13" spans="1:8">
      <c r="A13" s="26" t="s">
        <v>371</v>
      </c>
      <c r="B13" s="28"/>
      <c r="C13" s="28">
        <f>'VARIABLES DEL PROYECTO'!B4</f>
        <v>2268</v>
      </c>
      <c r="D13" s="28">
        <f>+C13*'VARIABLES DEL PROYECTO'!$D$65</f>
        <v>2278.2059999999997</v>
      </c>
      <c r="E13" s="28">
        <f>+D13*'VARIABLES DEL PROYECTO'!$D$65</f>
        <v>2288.4579269999995</v>
      </c>
      <c r="F13" s="28">
        <f>+E13*'VARIABLES DEL PROYECTO'!$D$65</f>
        <v>2298.7559876714995</v>
      </c>
      <c r="G13" s="28">
        <f>+F13*'VARIABLES DEL PROYECTO'!$D$65</f>
        <v>2309.1003896160209</v>
      </c>
      <c r="H13" s="28"/>
    </row>
    <row r="14" spans="1:8">
      <c r="B14" s="28"/>
      <c r="C14" s="28"/>
      <c r="D14" s="28"/>
      <c r="E14" s="28"/>
      <c r="F14" s="28"/>
      <c r="G14" s="28"/>
      <c r="H14" s="28"/>
    </row>
    <row r="15" spans="1:8">
      <c r="A15" s="26" t="s">
        <v>528</v>
      </c>
      <c r="B15" s="28"/>
      <c r="C15" s="28">
        <f>+'VARIABLES DEL PROYECTO'!D6</f>
        <v>1083103.991005291</v>
      </c>
      <c r="D15" s="28">
        <f>+C15*'VARIABLES DEL PROYECTO'!$D$65</f>
        <v>1087977.9589648147</v>
      </c>
      <c r="E15" s="28">
        <f>+D15*'VARIABLES DEL PROYECTO'!$D$65</f>
        <v>1092873.8597801563</v>
      </c>
      <c r="F15" s="28">
        <f>+E15*'VARIABLES DEL PROYECTO'!$D$65</f>
        <v>1097791.792149167</v>
      </c>
      <c r="G15" s="28">
        <f>+F15*'VARIABLES DEL PROYECTO'!$D$65</f>
        <v>1102731.8552138382</v>
      </c>
      <c r="H15" s="28"/>
    </row>
    <row r="16" spans="1:8">
      <c r="B16" s="28"/>
      <c r="C16" s="28"/>
      <c r="D16" s="28"/>
      <c r="E16" s="28"/>
      <c r="F16" s="28"/>
      <c r="G16" s="28"/>
      <c r="H16" s="28"/>
    </row>
    <row r="17" spans="1:9" s="30" customFormat="1" ht="16.5" thickBot="1">
      <c r="A17" s="275" t="s">
        <v>61</v>
      </c>
      <c r="B17" s="281"/>
      <c r="C17" s="282">
        <f>+C13*C15</f>
        <v>2456479851.5999999</v>
      </c>
      <c r="D17" s="282">
        <f>+C17*'VARIABLES DEL PROYECTO'!$D$65</f>
        <v>2467534010.9322</v>
      </c>
      <c r="E17" s="282">
        <f>+D17*'VARIABLES DEL PROYECTO'!$D$65</f>
        <v>2478637913.9813948</v>
      </c>
      <c r="F17" s="282">
        <f>+E17*'VARIABLES DEL PROYECTO'!$D$65</f>
        <v>2489791784.5943108</v>
      </c>
      <c r="G17" s="282">
        <f>+F17*'VARIABLES DEL PROYECTO'!$D$65</f>
        <v>2500995847.6249852</v>
      </c>
      <c r="H17" s="266"/>
    </row>
    <row r="18" spans="1:9">
      <c r="A18" s="26" t="s">
        <v>539</v>
      </c>
    </row>
    <row r="21" spans="1:9" ht="15.75">
      <c r="A21" s="379" t="s">
        <v>62</v>
      </c>
      <c r="B21" s="379"/>
      <c r="C21" s="379"/>
      <c r="D21" s="379"/>
      <c r="E21" s="379"/>
      <c r="F21" s="379"/>
      <c r="G21" s="379"/>
      <c r="H21" s="379"/>
    </row>
    <row r="22" spans="1:9" ht="15.75">
      <c r="A22" s="379" t="s">
        <v>543</v>
      </c>
      <c r="B22" s="379"/>
      <c r="C22" s="379"/>
      <c r="D22" s="379"/>
      <c r="E22" s="379"/>
      <c r="F22" s="379"/>
      <c r="G22" s="379"/>
      <c r="H22" s="379"/>
    </row>
    <row r="23" spans="1:9" ht="15.75">
      <c r="A23" s="249" t="s">
        <v>264</v>
      </c>
      <c r="B23" s="249"/>
      <c r="C23" s="249"/>
      <c r="D23" s="249"/>
      <c r="E23" s="249"/>
      <c r="F23" s="249"/>
      <c r="G23" s="249"/>
      <c r="H23" s="249"/>
    </row>
    <row r="24" spans="1:9" ht="15.75">
      <c r="A24" s="279" t="s">
        <v>57</v>
      </c>
      <c r="B24" s="279"/>
      <c r="C24" s="279"/>
      <c r="D24" s="279"/>
      <c r="E24" s="279"/>
      <c r="F24" s="279"/>
      <c r="G24" s="279"/>
      <c r="H24" s="249"/>
    </row>
    <row r="25" spans="1:9" ht="16.5" thickBot="1">
      <c r="B25" s="270" t="s">
        <v>262</v>
      </c>
      <c r="H25" s="276" t="s">
        <v>63</v>
      </c>
    </row>
    <row r="26" spans="1:9" ht="16.5" thickBot="1">
      <c r="A26" s="30" t="s">
        <v>58</v>
      </c>
      <c r="B26" s="249"/>
      <c r="C26" s="267" t="s">
        <v>59</v>
      </c>
      <c r="D26" s="267"/>
      <c r="E26" s="267"/>
      <c r="F26" s="267"/>
      <c r="G26" s="267"/>
      <c r="H26" s="71" t="s">
        <v>64</v>
      </c>
      <c r="I26" s="249"/>
    </row>
    <row r="27" spans="1:9" ht="15.75" customHeight="1">
      <c r="H27" s="71" t="s">
        <v>65</v>
      </c>
    </row>
    <row r="28" spans="1:9" ht="15.75">
      <c r="A28" s="286" t="s">
        <v>60</v>
      </c>
      <c r="B28" s="272">
        <f t="shared" ref="B28:G28" si="0">+B9</f>
        <v>0</v>
      </c>
      <c r="C28" s="272">
        <f t="shared" si="0"/>
        <v>1</v>
      </c>
      <c r="D28" s="272">
        <f t="shared" si="0"/>
        <v>2</v>
      </c>
      <c r="E28" s="272">
        <f t="shared" si="0"/>
        <v>3</v>
      </c>
      <c r="F28" s="272">
        <f t="shared" si="0"/>
        <v>4</v>
      </c>
      <c r="G28" s="272">
        <f t="shared" si="0"/>
        <v>5</v>
      </c>
      <c r="H28" s="280" t="s">
        <v>66</v>
      </c>
    </row>
    <row r="29" spans="1:9" ht="15.75" customHeight="1"/>
    <row r="30" spans="1:9" ht="15.75" customHeight="1">
      <c r="A30" s="26" t="s">
        <v>263</v>
      </c>
      <c r="C30" s="250">
        <f>+C11</f>
        <v>1</v>
      </c>
      <c r="D30" s="250">
        <f>+D11</f>
        <v>1</v>
      </c>
      <c r="E30" s="250">
        <f>+E11</f>
        <v>1</v>
      </c>
      <c r="F30" s="250">
        <f>+F11</f>
        <v>1</v>
      </c>
      <c r="G30" s="250">
        <f>+G11</f>
        <v>1</v>
      </c>
    </row>
    <row r="32" spans="1:9">
      <c r="A32" s="26" t="s">
        <v>67</v>
      </c>
      <c r="B32" s="28"/>
      <c r="C32" s="251">
        <f>'VARIABLES DEL PROYECTO'!$C$10/'VARIABLES DEL PROYECTO'!$B$11</f>
        <v>10000000</v>
      </c>
      <c r="D32" s="251">
        <f>'VARIABLES DEL PROYECTO'!$C$10/'VARIABLES DEL PROYECTO'!$B$11</f>
        <v>10000000</v>
      </c>
      <c r="E32" s="251">
        <f>'VARIABLES DEL PROYECTO'!$C$10/'VARIABLES DEL PROYECTO'!$B$11</f>
        <v>10000000</v>
      </c>
      <c r="F32" s="251">
        <f>'VARIABLES DEL PROYECTO'!$C$10/'VARIABLES DEL PROYECTO'!$B$11</f>
        <v>10000000</v>
      </c>
      <c r="G32" s="251">
        <f>'VARIABLES DEL PROYECTO'!$C$10/'VARIABLES DEL PROYECTO'!$B$11</f>
        <v>10000000</v>
      </c>
      <c r="H32" s="251">
        <f>'VARIABLES DEL PROYECTO'!C10-(FORMULACION!C32+FORMULACION!D32+FORMULACION!E32+FORMULACION!F32+G32)</f>
        <v>50000000</v>
      </c>
    </row>
    <row r="33" spans="1:8">
      <c r="A33" s="26" t="s">
        <v>68</v>
      </c>
      <c r="B33" s="28"/>
      <c r="C33" s="251">
        <f>+('VARIABLES DEL PROYECTO'!$C$12)/'VARIABLES DEL PROYECTO'!$B$13</f>
        <v>726000</v>
      </c>
      <c r="D33" s="251">
        <f>+('VARIABLES DEL PROYECTO'!$C$12)/'VARIABLES DEL PROYECTO'!$B$13</f>
        <v>726000</v>
      </c>
      <c r="E33" s="251">
        <f>+('VARIABLES DEL PROYECTO'!$C$12)/'VARIABLES DEL PROYECTO'!$B$13</f>
        <v>726000</v>
      </c>
      <c r="F33" s="251">
        <f>+('VARIABLES DEL PROYECTO'!$C$12)/'VARIABLES DEL PROYECTO'!$B$13</f>
        <v>726000</v>
      </c>
      <c r="G33" s="251">
        <f>+('VARIABLES DEL PROYECTO'!$C$12)/'VARIABLES DEL PROYECTO'!$B$13</f>
        <v>726000</v>
      </c>
      <c r="H33" s="251">
        <f ca="1">'VARIABLES DEL PROYECTO'!C12-SUM(C33:H33)</f>
        <v>3630000</v>
      </c>
    </row>
    <row r="34" spans="1:8">
      <c r="A34" s="26" t="s">
        <v>366</v>
      </c>
      <c r="B34" s="28"/>
      <c r="C34" s="251">
        <f>+('VARIABLES DEL PROYECTO'!$C$14)/'VARIABLES DEL PROYECTO'!$B$15</f>
        <v>540250</v>
      </c>
      <c r="D34" s="251">
        <f>+('VARIABLES DEL PROYECTO'!$C$14)/'VARIABLES DEL PROYECTO'!$B$15</f>
        <v>540250</v>
      </c>
      <c r="E34" s="251">
        <f>+('VARIABLES DEL PROYECTO'!$C$14)/'VARIABLES DEL PROYECTO'!$B$15</f>
        <v>540250</v>
      </c>
      <c r="F34" s="251">
        <f>+('VARIABLES DEL PROYECTO'!$C$14)/'VARIABLES DEL PROYECTO'!$B$15</f>
        <v>540250</v>
      </c>
      <c r="G34" s="251">
        <f>+('VARIABLES DEL PROYECTO'!$C$14)/'VARIABLES DEL PROYECTO'!$B$15</f>
        <v>540250</v>
      </c>
      <c r="H34" s="251">
        <f ca="1">'VARIABLES DEL PROYECTO'!C14+'VARIABLES DEL PROYECTO'!F14-SUM(C34:H34)</f>
        <v>2701250</v>
      </c>
    </row>
    <row r="35" spans="1:8">
      <c r="A35" s="26" t="s">
        <v>69</v>
      </c>
      <c r="B35" s="28"/>
      <c r="C35" s="251">
        <f>+('VARIABLES DEL PROYECTO'!$C$16)/'VARIABLES DEL PROYECTO'!$B$17</f>
        <v>766000</v>
      </c>
      <c r="D35" s="251">
        <f>+('VARIABLES DEL PROYECTO'!$C$16)/'VARIABLES DEL PROYECTO'!$B$17</f>
        <v>766000</v>
      </c>
      <c r="E35" s="251">
        <f>+('VARIABLES DEL PROYECTO'!$C$16)/'VARIABLES DEL PROYECTO'!$B$17</f>
        <v>766000</v>
      </c>
      <c r="F35" s="251">
        <f>+('VARIABLES DEL PROYECTO'!$C$16)/'VARIABLES DEL PROYECTO'!$B$17</f>
        <v>766000</v>
      </c>
      <c r="G35" s="251">
        <f>+('VARIABLES DEL PROYECTO'!$C$16)/'VARIABLES DEL PROYECTO'!$B$17</f>
        <v>766000</v>
      </c>
      <c r="H35" s="251">
        <f ca="1">+'VARIABLES DEL PROYECTO'!C16-SUM(C35:H35)</f>
        <v>3830000</v>
      </c>
    </row>
    <row r="36" spans="1:8">
      <c r="B36" s="28"/>
      <c r="C36" s="28"/>
      <c r="D36" s="28"/>
      <c r="E36" s="28"/>
      <c r="F36" s="28"/>
      <c r="G36" s="28"/>
      <c r="H36" s="251"/>
    </row>
    <row r="37" spans="1:8" s="30" customFormat="1" ht="16.5" thickBot="1">
      <c r="A37" s="275" t="s">
        <v>70</v>
      </c>
      <c r="B37" s="281"/>
      <c r="C37" s="282">
        <f>SUM(C32:C35)</f>
        <v>12032250</v>
      </c>
      <c r="D37" s="282">
        <f>SUM(D32:D35)</f>
        <v>12032250</v>
      </c>
      <c r="E37" s="282">
        <f>SUM(E32:E35)</f>
        <v>12032250</v>
      </c>
      <c r="F37" s="282">
        <f>SUM(F32:F35)</f>
        <v>12032250</v>
      </c>
      <c r="G37" s="282">
        <f>SUM(G32:G35)</f>
        <v>12032250</v>
      </c>
      <c r="H37" s="282">
        <f ca="1">SUM(H32:H36)</f>
        <v>60161250</v>
      </c>
    </row>
    <row r="38" spans="1:8">
      <c r="A38" s="26" t="s">
        <v>539</v>
      </c>
    </row>
    <row r="40" spans="1:8" ht="15.75">
      <c r="D40" s="249"/>
    </row>
    <row r="41" spans="1:8" ht="15.75">
      <c r="A41" s="249" t="s">
        <v>71</v>
      </c>
      <c r="B41" s="249"/>
      <c r="C41" s="249"/>
      <c r="D41" s="249"/>
      <c r="E41" s="249"/>
      <c r="F41" s="249"/>
      <c r="G41" s="249"/>
      <c r="H41" s="249"/>
    </row>
    <row r="42" spans="1:8" ht="15.75">
      <c r="A42" s="249" t="s">
        <v>265</v>
      </c>
      <c r="B42" s="249"/>
      <c r="C42" s="249"/>
      <c r="D42" s="249"/>
      <c r="E42" s="249"/>
      <c r="F42" s="249"/>
      <c r="G42" s="249"/>
      <c r="H42" s="249"/>
    </row>
    <row r="43" spans="1:8" ht="15.75">
      <c r="A43" s="279" t="s">
        <v>57</v>
      </c>
      <c r="B43" s="279"/>
      <c r="C43" s="279"/>
      <c r="D43" s="279"/>
      <c r="E43" s="279"/>
      <c r="F43" s="279"/>
      <c r="G43" s="279"/>
      <c r="H43" s="249"/>
    </row>
    <row r="44" spans="1:8" ht="16.5" thickBot="1">
      <c r="B44" s="270" t="s">
        <v>262</v>
      </c>
    </row>
    <row r="45" spans="1:8" ht="16.5" thickBot="1">
      <c r="A45" s="30" t="s">
        <v>58</v>
      </c>
      <c r="B45" s="249"/>
      <c r="C45" s="381" t="s">
        <v>59</v>
      </c>
      <c r="D45" s="381"/>
      <c r="E45" s="381"/>
      <c r="F45" s="381"/>
      <c r="G45" s="381"/>
      <c r="H45" s="249"/>
    </row>
    <row r="47" spans="1:8" ht="15.75">
      <c r="A47" s="286" t="s">
        <v>60</v>
      </c>
      <c r="B47" s="272">
        <f t="shared" ref="B47:G47" si="1">+B28</f>
        <v>0</v>
      </c>
      <c r="C47" s="272">
        <f t="shared" si="1"/>
        <v>1</v>
      </c>
      <c r="D47" s="272">
        <f t="shared" si="1"/>
        <v>2</v>
      </c>
      <c r="E47" s="272">
        <f t="shared" si="1"/>
        <v>3</v>
      </c>
      <c r="F47" s="272">
        <f t="shared" si="1"/>
        <v>4</v>
      </c>
      <c r="G47" s="272">
        <f t="shared" si="1"/>
        <v>5</v>
      </c>
      <c r="H47" s="71"/>
    </row>
    <row r="49" spans="1:9">
      <c r="A49" s="26" t="s">
        <v>263</v>
      </c>
      <c r="C49" s="250">
        <f>+C30</f>
        <v>1</v>
      </c>
      <c r="D49" s="250">
        <f>+D30</f>
        <v>1</v>
      </c>
      <c r="E49" s="250">
        <f>+E30</f>
        <v>1</v>
      </c>
      <c r="F49" s="250">
        <f>+F30</f>
        <v>1</v>
      </c>
      <c r="G49" s="250">
        <f>+G30</f>
        <v>1</v>
      </c>
      <c r="H49" s="250"/>
    </row>
    <row r="51" spans="1:9" ht="15.75" thickBot="1">
      <c r="A51" s="283" t="s">
        <v>266</v>
      </c>
      <c r="B51" s="284"/>
      <c r="C51" s="293">
        <f>'VARIABLES DEL PROYECTO'!$C$22/'VARIABLES DEL PROYECTO'!$B$22</f>
        <v>0</v>
      </c>
      <c r="D51" s="293">
        <f>'VARIABLES DEL PROYECTO'!$C$22/'VARIABLES DEL PROYECTO'!$B$22</f>
        <v>0</v>
      </c>
      <c r="E51" s="293">
        <f>'VARIABLES DEL PROYECTO'!$C$22/'VARIABLES DEL PROYECTO'!$B$22</f>
        <v>0</v>
      </c>
      <c r="F51" s="293">
        <f>'VARIABLES DEL PROYECTO'!$C$22/'VARIABLES DEL PROYECTO'!$B$22</f>
        <v>0</v>
      </c>
      <c r="G51" s="293">
        <f>'VARIABLES DEL PROYECTO'!$C$22/'VARIABLES DEL PROYECTO'!$B$22</f>
        <v>0</v>
      </c>
      <c r="H51" s="251"/>
      <c r="I51" s="251"/>
    </row>
    <row r="52" spans="1:9">
      <c r="A52" s="26" t="s">
        <v>539</v>
      </c>
    </row>
    <row r="55" spans="1:9" ht="15.75">
      <c r="A55" s="249" t="s">
        <v>72</v>
      </c>
      <c r="B55" s="249"/>
      <c r="C55" s="249"/>
      <c r="D55" s="249"/>
      <c r="E55" s="249"/>
      <c r="F55" s="249"/>
      <c r="G55" s="249"/>
      <c r="H55" s="249"/>
    </row>
    <row r="56" spans="1:9" ht="15.75">
      <c r="A56" s="249" t="s">
        <v>267</v>
      </c>
      <c r="B56" s="249"/>
      <c r="C56" s="249"/>
      <c r="D56" s="249"/>
      <c r="E56" s="249"/>
      <c r="F56" s="249"/>
      <c r="G56" s="249"/>
      <c r="H56" s="249"/>
    </row>
    <row r="57" spans="1:9" ht="15.75">
      <c r="A57" s="279" t="s">
        <v>57</v>
      </c>
      <c r="B57" s="279"/>
      <c r="C57" s="279"/>
      <c r="D57" s="279"/>
      <c r="E57" s="279"/>
      <c r="F57" s="279"/>
      <c r="G57" s="279"/>
      <c r="H57" s="249"/>
    </row>
    <row r="58" spans="1:9" ht="16.5" thickBot="1">
      <c r="B58" s="270" t="s">
        <v>262</v>
      </c>
    </row>
    <row r="59" spans="1:9" ht="16.5" thickBot="1">
      <c r="A59" s="30" t="s">
        <v>58</v>
      </c>
      <c r="B59" s="249"/>
      <c r="C59" s="381" t="s">
        <v>59</v>
      </c>
      <c r="D59" s="381"/>
      <c r="E59" s="381"/>
      <c r="F59" s="381"/>
      <c r="G59" s="381"/>
      <c r="H59" s="249"/>
    </row>
    <row r="61" spans="1:9" ht="15.75">
      <c r="A61" s="286" t="s">
        <v>60</v>
      </c>
      <c r="B61" s="272">
        <f t="shared" ref="B61:G61" si="2">+B$28</f>
        <v>0</v>
      </c>
      <c r="C61" s="272">
        <f t="shared" si="2"/>
        <v>1</v>
      </c>
      <c r="D61" s="272">
        <f t="shared" si="2"/>
        <v>2</v>
      </c>
      <c r="E61" s="272">
        <f t="shared" si="2"/>
        <v>3</v>
      </c>
      <c r="F61" s="272">
        <f t="shared" si="2"/>
        <v>4</v>
      </c>
      <c r="G61" s="272">
        <f t="shared" si="2"/>
        <v>5</v>
      </c>
      <c r="H61" s="71"/>
    </row>
    <row r="63" spans="1:9">
      <c r="A63" s="26" t="s">
        <v>263</v>
      </c>
      <c r="C63" s="250">
        <f>+C$30</f>
        <v>1</v>
      </c>
      <c r="D63" s="250">
        <f>+D$30</f>
        <v>1</v>
      </c>
      <c r="E63" s="250">
        <f>+E$30</f>
        <v>1</v>
      </c>
      <c r="F63" s="250">
        <f>+F$30</f>
        <v>1</v>
      </c>
      <c r="G63" s="250">
        <f>+G$30</f>
        <v>1</v>
      </c>
      <c r="H63" s="250"/>
    </row>
    <row r="65" spans="1:11">
      <c r="A65" s="26" t="s">
        <v>268</v>
      </c>
      <c r="B65" s="28"/>
      <c r="C65" s="28">
        <f>+('VARIABLES DEL PROYECTO'!$C$33-SUM(B67))*'VARIABLES DEL PROYECTO'!$B$37</f>
        <v>0</v>
      </c>
      <c r="D65" s="28">
        <v>0</v>
      </c>
      <c r="E65" s="28">
        <v>0</v>
      </c>
      <c r="F65" s="28">
        <v>0</v>
      </c>
      <c r="G65" s="28">
        <v>0</v>
      </c>
      <c r="H65" s="28"/>
    </row>
    <row r="66" spans="1:11">
      <c r="B66" s="28"/>
      <c r="C66" s="28"/>
      <c r="D66" s="28"/>
      <c r="E66" s="28"/>
      <c r="F66" s="28"/>
      <c r="G66" s="28"/>
      <c r="H66" s="28"/>
    </row>
    <row r="67" spans="1:11" ht="15.75" thickBot="1">
      <c r="A67" s="283" t="s">
        <v>73</v>
      </c>
      <c r="B67" s="284"/>
      <c r="C67" s="284">
        <v>0</v>
      </c>
      <c r="D67" s="284">
        <v>0</v>
      </c>
      <c r="E67" s="284">
        <v>0</v>
      </c>
      <c r="F67" s="284">
        <v>0</v>
      </c>
      <c r="G67" s="284">
        <v>0</v>
      </c>
      <c r="H67" s="28"/>
      <c r="K67" s="251">
        <v>0.66666666666666663</v>
      </c>
    </row>
    <row r="68" spans="1:11">
      <c r="A68" s="26" t="s">
        <v>539</v>
      </c>
      <c r="B68" s="28"/>
      <c r="C68" s="28"/>
      <c r="D68" s="28"/>
      <c r="E68" s="28"/>
      <c r="F68" s="28"/>
      <c r="G68" s="28"/>
      <c r="H68" s="28"/>
      <c r="K68" s="26">
        <f>4*36%</f>
        <v>1.44</v>
      </c>
    </row>
    <row r="69" spans="1:11">
      <c r="B69" s="28"/>
      <c r="C69" s="28"/>
      <c r="D69" s="28"/>
      <c r="E69" s="28"/>
      <c r="F69" s="28"/>
      <c r="G69" s="28"/>
      <c r="H69" s="28"/>
    </row>
    <row r="71" spans="1:11" ht="15.75">
      <c r="A71" s="249" t="s">
        <v>74</v>
      </c>
      <c r="B71" s="249"/>
      <c r="C71" s="249"/>
      <c r="D71" s="249"/>
      <c r="E71" s="249"/>
      <c r="F71" s="249"/>
      <c r="G71" s="249"/>
      <c r="H71" s="249"/>
    </row>
    <row r="72" spans="1:11" ht="15.75">
      <c r="A72" s="249" t="s">
        <v>75</v>
      </c>
      <c r="B72" s="249"/>
      <c r="C72" s="249"/>
      <c r="D72" s="249"/>
      <c r="E72" s="249"/>
      <c r="F72" s="249"/>
      <c r="G72" s="249"/>
      <c r="H72" s="249"/>
    </row>
    <row r="73" spans="1:11" ht="15.75">
      <c r="A73" s="279" t="s">
        <v>57</v>
      </c>
      <c r="B73" s="279"/>
      <c r="C73" s="279"/>
      <c r="D73" s="279"/>
      <c r="E73" s="279"/>
      <c r="F73" s="279"/>
      <c r="G73" s="279"/>
      <c r="H73" s="249"/>
    </row>
    <row r="74" spans="1:11" ht="16.5" thickBot="1">
      <c r="B74" s="270" t="s">
        <v>262</v>
      </c>
    </row>
    <row r="75" spans="1:11" ht="16.5" thickBot="1">
      <c r="A75" s="30" t="s">
        <v>58</v>
      </c>
      <c r="B75" s="249"/>
      <c r="C75" s="381" t="s">
        <v>59</v>
      </c>
      <c r="D75" s="381"/>
      <c r="E75" s="381"/>
      <c r="F75" s="381"/>
      <c r="G75" s="381"/>
      <c r="H75" s="249"/>
    </row>
    <row r="77" spans="1:11" ht="15.75">
      <c r="A77" s="286" t="s">
        <v>60</v>
      </c>
      <c r="B77" s="272">
        <f t="shared" ref="B77:G77" si="3">+B$28</f>
        <v>0</v>
      </c>
      <c r="C77" s="272">
        <f t="shared" si="3"/>
        <v>1</v>
      </c>
      <c r="D77" s="272">
        <f t="shared" si="3"/>
        <v>2</v>
      </c>
      <c r="E77" s="272">
        <f t="shared" si="3"/>
        <v>3</v>
      </c>
      <c r="F77" s="272">
        <f t="shared" si="3"/>
        <v>4</v>
      </c>
      <c r="G77" s="272">
        <f t="shared" si="3"/>
        <v>5</v>
      </c>
      <c r="H77" s="71"/>
    </row>
    <row r="79" spans="1:11">
      <c r="A79" s="26" t="s">
        <v>263</v>
      </c>
      <c r="C79" s="250">
        <f>+C$30</f>
        <v>1</v>
      </c>
      <c r="D79" s="250">
        <f>+D$30</f>
        <v>1</v>
      </c>
      <c r="E79" s="250">
        <f>+E$30</f>
        <v>1</v>
      </c>
      <c r="F79" s="250">
        <f>+F$30</f>
        <v>1</v>
      </c>
      <c r="G79" s="250">
        <f>+G$30</f>
        <v>1</v>
      </c>
      <c r="H79" s="250"/>
    </row>
    <row r="81" spans="1:8">
      <c r="A81" s="27" t="s">
        <v>373</v>
      </c>
      <c r="B81" s="28"/>
      <c r="C81" s="28">
        <f>+C79*'VARIABLES DEL PROYECTO'!$B$4</f>
        <v>2268</v>
      </c>
      <c r="D81" s="28">
        <f>+C81*'VARIABLES DEL PROYECTO'!$D$65</f>
        <v>2278.2059999999997</v>
      </c>
      <c r="E81" s="28">
        <f>+D81*'VARIABLES DEL PROYECTO'!$D$65</f>
        <v>2288.4579269999995</v>
      </c>
      <c r="F81" s="28">
        <f>+E81*'VARIABLES DEL PROYECTO'!$D$65</f>
        <v>2298.7559876714995</v>
      </c>
      <c r="G81" s="28">
        <f>+F81*'VARIABLES DEL PROYECTO'!$D$65</f>
        <v>2309.1003896160209</v>
      </c>
      <c r="H81" s="28"/>
    </row>
    <row r="82" spans="1:8">
      <c r="B82" s="28"/>
      <c r="C82" s="28"/>
      <c r="D82" s="28"/>
      <c r="E82" s="28"/>
      <c r="F82" s="28"/>
      <c r="G82" s="28"/>
      <c r="H82" s="28"/>
    </row>
    <row r="83" spans="1:8">
      <c r="A83" s="26" t="s">
        <v>77</v>
      </c>
      <c r="B83" s="28"/>
      <c r="C83" s="28">
        <f>+'VARIABLES DEL PROYECTO'!D25</f>
        <v>979538.02469135798</v>
      </c>
      <c r="D83" s="28">
        <f>+C83*'VARIABLES DEL PROYECTO'!$D$65</f>
        <v>983945.94580246904</v>
      </c>
      <c r="E83" s="28">
        <f>+D83*'VARIABLES DEL PROYECTO'!$D$65</f>
        <v>988373.70255858009</v>
      </c>
      <c r="F83" s="28">
        <f>+E83*'VARIABLES DEL PROYECTO'!$D$65</f>
        <v>992821.38422009361</v>
      </c>
      <c r="G83" s="28">
        <f>+F83*'VARIABLES DEL PROYECTO'!$D$65</f>
        <v>997289.08044908394</v>
      </c>
      <c r="H83" s="28"/>
    </row>
    <row r="84" spans="1:8">
      <c r="B84" s="28"/>
      <c r="C84" s="28"/>
      <c r="D84" s="28"/>
      <c r="E84" s="28"/>
      <c r="F84" s="28"/>
      <c r="G84" s="28"/>
      <c r="H84" s="28"/>
    </row>
    <row r="86" spans="1:8" ht="16.5" thickBot="1">
      <c r="A86" s="275" t="s">
        <v>78</v>
      </c>
      <c r="B86" s="275"/>
      <c r="C86" s="282">
        <f>+C81*C83</f>
        <v>2221592240</v>
      </c>
      <c r="D86" s="282">
        <f>+C86*'VARIABLES DEL PROYECTO'!$D$65</f>
        <v>2231589405.0799999</v>
      </c>
      <c r="E86" s="282">
        <f>+D86*'VARIABLES DEL PROYECTO'!$D$65</f>
        <v>2241631557.4028597</v>
      </c>
      <c r="F86" s="282">
        <f>+E86*'VARIABLES DEL PROYECTO'!$D$65</f>
        <v>2251718899.4111724</v>
      </c>
      <c r="G86" s="282">
        <f>+F86*'VARIABLES DEL PROYECTO'!$D$65</f>
        <v>2261851634.4585223</v>
      </c>
      <c r="H86" s="28"/>
    </row>
    <row r="87" spans="1:8">
      <c r="A87" s="26" t="s">
        <v>539</v>
      </c>
      <c r="B87" s="28"/>
      <c r="C87" s="28"/>
      <c r="D87" s="28"/>
      <c r="E87" s="28"/>
      <c r="F87" s="28"/>
      <c r="G87" s="28"/>
      <c r="H87" s="28"/>
    </row>
    <row r="90" spans="1:8" ht="15.75">
      <c r="A90" s="249" t="s">
        <v>79</v>
      </c>
      <c r="B90" s="249"/>
      <c r="C90" s="249"/>
      <c r="D90" s="249"/>
      <c r="E90" s="249"/>
      <c r="F90" s="249"/>
      <c r="G90" s="249"/>
      <c r="H90" s="249"/>
    </row>
    <row r="91" spans="1:8" ht="15.75">
      <c r="A91" s="249" t="s">
        <v>80</v>
      </c>
      <c r="B91" s="249"/>
      <c r="C91" s="249"/>
      <c r="D91" s="249"/>
      <c r="E91" s="249"/>
      <c r="F91" s="249"/>
      <c r="G91" s="249"/>
      <c r="H91" s="249"/>
    </row>
    <row r="92" spans="1:8" ht="15.75">
      <c r="A92" s="279" t="s">
        <v>57</v>
      </c>
      <c r="B92" s="279"/>
      <c r="C92" s="279"/>
      <c r="D92" s="279"/>
      <c r="E92" s="279"/>
      <c r="F92" s="279"/>
      <c r="G92" s="279"/>
      <c r="H92" s="249"/>
    </row>
    <row r="93" spans="1:8" ht="16.5" thickBot="1">
      <c r="B93" s="270" t="s">
        <v>262</v>
      </c>
    </row>
    <row r="94" spans="1:8" ht="16.5" thickBot="1">
      <c r="A94" s="30" t="s">
        <v>58</v>
      </c>
      <c r="B94" s="249"/>
      <c r="C94" s="381" t="s">
        <v>59</v>
      </c>
      <c r="D94" s="381"/>
      <c r="E94" s="381"/>
      <c r="F94" s="381"/>
      <c r="G94" s="381"/>
      <c r="H94" s="249"/>
    </row>
    <row r="96" spans="1:8" ht="15.75">
      <c r="A96" s="286" t="s">
        <v>60</v>
      </c>
      <c r="B96" s="272">
        <f t="shared" ref="B96:G96" si="4">+B$28</f>
        <v>0</v>
      </c>
      <c r="C96" s="272">
        <f t="shared" si="4"/>
        <v>1</v>
      </c>
      <c r="D96" s="272">
        <f t="shared" si="4"/>
        <v>2</v>
      </c>
      <c r="E96" s="272">
        <f t="shared" si="4"/>
        <v>3</v>
      </c>
      <c r="F96" s="272">
        <f t="shared" si="4"/>
        <v>4</v>
      </c>
      <c r="G96" s="272">
        <f t="shared" si="4"/>
        <v>5</v>
      </c>
      <c r="H96" s="71"/>
    </row>
    <row r="97" spans="1:8" ht="15.75">
      <c r="B97" s="71"/>
      <c r="C97" s="71"/>
      <c r="D97" s="71"/>
      <c r="E97" s="71"/>
      <c r="F97" s="71"/>
      <c r="G97" s="71"/>
      <c r="H97" s="71"/>
    </row>
    <row r="98" spans="1:8">
      <c r="A98" s="26" t="s">
        <v>263</v>
      </c>
      <c r="C98" s="250">
        <f>+C$30</f>
        <v>1</v>
      </c>
      <c r="D98" s="250">
        <f>+D$30</f>
        <v>1</v>
      </c>
      <c r="E98" s="250">
        <f>+E$30</f>
        <v>1</v>
      </c>
      <c r="F98" s="250">
        <f>+F$30</f>
        <v>1</v>
      </c>
      <c r="G98" s="250">
        <f>+G$30</f>
        <v>1</v>
      </c>
      <c r="H98" s="250"/>
    </row>
    <row r="100" spans="1:8">
      <c r="A100" s="252" t="s">
        <v>372</v>
      </c>
      <c r="B100" s="28"/>
      <c r="C100" s="28">
        <f>+C98*'VARIABLES DEL PROYECTO'!$B$4</f>
        <v>2268</v>
      </c>
      <c r="D100" s="28">
        <f>+C100*'VARIABLES DEL PROYECTO'!$D$65</f>
        <v>2278.2059999999997</v>
      </c>
      <c r="E100" s="28">
        <f>+D100*'VARIABLES DEL PROYECTO'!$D$65</f>
        <v>2288.4579269999995</v>
      </c>
      <c r="F100" s="28">
        <f>+E100*'VARIABLES DEL PROYECTO'!$D$65</f>
        <v>2298.7559876714995</v>
      </c>
      <c r="G100" s="28">
        <f>+F100*'VARIABLES DEL PROYECTO'!$D$65</f>
        <v>2309.1003896160209</v>
      </c>
      <c r="H100" s="28"/>
    </row>
    <row r="101" spans="1:8">
      <c r="B101" s="28"/>
      <c r="C101" s="28"/>
      <c r="D101" s="28"/>
      <c r="E101" s="28"/>
      <c r="F101" s="28"/>
      <c r="G101" s="28"/>
      <c r="H101" s="28"/>
    </row>
    <row r="102" spans="1:8">
      <c r="A102" s="26" t="s">
        <v>77</v>
      </c>
      <c r="B102" s="28"/>
      <c r="C102" s="28">
        <f>'VARIABLES DEL PROYECTO'!D26</f>
        <v>32275.132275132277</v>
      </c>
      <c r="D102" s="28">
        <f>+C102*'VARIABLES DEL PROYECTO'!$D$65</f>
        <v>32420.370370370369</v>
      </c>
      <c r="E102" s="28">
        <f>+D102*'VARIABLES DEL PROYECTO'!$D$65</f>
        <v>32566.262037037035</v>
      </c>
      <c r="F102" s="28">
        <f>+E102*'VARIABLES DEL PROYECTO'!$D$65</f>
        <v>32712.810216203699</v>
      </c>
      <c r="G102" s="28">
        <f>+F102*'VARIABLES DEL PROYECTO'!$D$65</f>
        <v>32860.017862176617</v>
      </c>
      <c r="H102" s="28"/>
    </row>
    <row r="103" spans="1:8">
      <c r="B103" s="28"/>
      <c r="C103" s="28"/>
      <c r="D103" s="28"/>
      <c r="E103" s="28"/>
      <c r="F103" s="28"/>
      <c r="G103" s="28"/>
      <c r="H103" s="28"/>
    </row>
    <row r="105" spans="1:8" ht="16.5" thickBot="1">
      <c r="A105" s="275" t="s">
        <v>367</v>
      </c>
      <c r="B105" s="275"/>
      <c r="C105" s="282">
        <f>+C100*C102</f>
        <v>73200000</v>
      </c>
      <c r="D105" s="282">
        <f>+C105*'VARIABLES DEL PROYECTO'!$D$65</f>
        <v>73529400</v>
      </c>
      <c r="E105" s="282">
        <f>+D105*'VARIABLES DEL PROYECTO'!$D$65</f>
        <v>73860282.299999997</v>
      </c>
      <c r="F105" s="282">
        <f>+E105*'VARIABLES DEL PROYECTO'!$D$65</f>
        <v>74192653.570349991</v>
      </c>
      <c r="G105" s="282">
        <f>+F105*'VARIABLES DEL PROYECTO'!$D$65</f>
        <v>74526520.511416569</v>
      </c>
      <c r="H105" s="28"/>
    </row>
    <row r="106" spans="1:8">
      <c r="A106" s="26" t="s">
        <v>539</v>
      </c>
      <c r="B106" s="28"/>
      <c r="C106" s="28"/>
      <c r="D106" s="28"/>
      <c r="E106" s="28"/>
      <c r="F106" s="28"/>
      <c r="G106" s="28"/>
      <c r="H106" s="28"/>
    </row>
    <row r="107" spans="1:8">
      <c r="G107" s="28"/>
    </row>
    <row r="109" spans="1:8" ht="15.75">
      <c r="A109" s="249" t="s">
        <v>81</v>
      </c>
      <c r="B109" s="249"/>
      <c r="C109" s="249"/>
      <c r="D109" s="249"/>
      <c r="E109" s="249"/>
      <c r="F109" s="249"/>
      <c r="G109" s="249"/>
      <c r="H109" s="249"/>
    </row>
    <row r="110" spans="1:8" ht="15.75">
      <c r="A110" s="249" t="s">
        <v>269</v>
      </c>
      <c r="B110" s="249"/>
      <c r="C110" s="249"/>
      <c r="D110" s="249"/>
      <c r="E110" s="249"/>
      <c r="F110" s="249"/>
      <c r="G110" s="249"/>
      <c r="H110" s="249"/>
    </row>
    <row r="111" spans="1:8" ht="15.75">
      <c r="A111" s="279" t="s">
        <v>57</v>
      </c>
      <c r="B111" s="279"/>
      <c r="C111" s="279"/>
      <c r="D111" s="279"/>
      <c r="E111" s="279"/>
      <c r="F111" s="279"/>
      <c r="G111" s="279"/>
      <c r="H111" s="249"/>
    </row>
    <row r="112" spans="1:8" ht="16.5" thickBot="1">
      <c r="B112" s="270" t="s">
        <v>262</v>
      </c>
    </row>
    <row r="113" spans="1:8" ht="16.5" thickBot="1">
      <c r="A113" s="30" t="s">
        <v>58</v>
      </c>
      <c r="B113" s="249"/>
      <c r="C113" s="381" t="s">
        <v>59</v>
      </c>
      <c r="D113" s="381"/>
      <c r="E113" s="381"/>
      <c r="F113" s="381"/>
      <c r="G113" s="381"/>
      <c r="H113" s="249"/>
    </row>
    <row r="115" spans="1:8" ht="15.75">
      <c r="A115" s="286" t="s">
        <v>60</v>
      </c>
      <c r="B115" s="272">
        <f t="shared" ref="B115:G115" si="5">+B$28</f>
        <v>0</v>
      </c>
      <c r="C115" s="272">
        <f t="shared" si="5"/>
        <v>1</v>
      </c>
      <c r="D115" s="272">
        <f t="shared" si="5"/>
        <v>2</v>
      </c>
      <c r="E115" s="272">
        <f t="shared" si="5"/>
        <v>3</v>
      </c>
      <c r="F115" s="272">
        <f t="shared" si="5"/>
        <v>4</v>
      </c>
      <c r="G115" s="272">
        <f t="shared" si="5"/>
        <v>5</v>
      </c>
      <c r="H115" s="71"/>
    </row>
    <row r="117" spans="1:8">
      <c r="A117" s="26" t="s">
        <v>263</v>
      </c>
      <c r="C117" s="250">
        <f>+C$30</f>
        <v>1</v>
      </c>
      <c r="D117" s="250">
        <f>+D$30</f>
        <v>1</v>
      </c>
      <c r="E117" s="250">
        <f>+E$30</f>
        <v>1</v>
      </c>
      <c r="F117" s="250">
        <f>+F$30</f>
        <v>1</v>
      </c>
      <c r="G117" s="250">
        <f>+G$30</f>
        <v>1</v>
      </c>
      <c r="H117" s="250"/>
    </row>
    <row r="119" spans="1:8">
      <c r="A119" s="252" t="s">
        <v>76</v>
      </c>
      <c r="B119" s="28"/>
      <c r="C119" s="28">
        <f>+C117*'VARIABLES DEL PROYECTO'!$B$4</f>
        <v>2268</v>
      </c>
      <c r="D119" s="28">
        <f>+C119*'VARIABLES DEL PROYECTO'!$D$65</f>
        <v>2278.2059999999997</v>
      </c>
      <c r="E119" s="28">
        <f>+D119*'VARIABLES DEL PROYECTO'!$D$65</f>
        <v>2288.4579269999995</v>
      </c>
      <c r="F119" s="28">
        <f>+E119*'VARIABLES DEL PROYECTO'!$D$65</f>
        <v>2298.7559876714995</v>
      </c>
      <c r="G119" s="28">
        <f>+F119*'VARIABLES DEL PROYECTO'!$D$65</f>
        <v>2309.1003896160209</v>
      </c>
      <c r="H119" s="28"/>
    </row>
    <row r="120" spans="1:8">
      <c r="B120" s="28"/>
      <c r="C120" s="28"/>
      <c r="D120" s="28"/>
      <c r="E120" s="28"/>
      <c r="F120" s="28"/>
      <c r="G120" s="28"/>
      <c r="H120" s="28"/>
    </row>
    <row r="121" spans="1:8">
      <c r="A121" s="26" t="s">
        <v>77</v>
      </c>
      <c r="B121" s="28"/>
      <c r="C121" s="28">
        <v>0</v>
      </c>
      <c r="D121" s="28">
        <f>+C121*'VARIABLES DEL PROYECTO'!$D$65</f>
        <v>0</v>
      </c>
      <c r="E121" s="28">
        <f>+D121*'VARIABLES DEL PROYECTO'!$D$65</f>
        <v>0</v>
      </c>
      <c r="F121" s="28">
        <f>+E121*'VARIABLES DEL PROYECTO'!$D$65</f>
        <v>0</v>
      </c>
      <c r="G121" s="28">
        <f>+F121*'VARIABLES DEL PROYECTO'!$D$65</f>
        <v>0</v>
      </c>
      <c r="H121" s="28"/>
    </row>
    <row r="122" spans="1:8">
      <c r="B122" s="28"/>
      <c r="C122" s="28"/>
      <c r="D122" s="28"/>
      <c r="E122" s="28"/>
      <c r="F122" s="28"/>
      <c r="G122" s="28"/>
      <c r="H122" s="28"/>
    </row>
    <row r="123" spans="1:8">
      <c r="D123" s="28"/>
    </row>
    <row r="124" spans="1:8" ht="16.5" thickBot="1">
      <c r="A124" s="275" t="s">
        <v>78</v>
      </c>
      <c r="B124" s="275"/>
      <c r="C124" s="285">
        <f>+C119*C121</f>
        <v>0</v>
      </c>
      <c r="D124" s="285">
        <f>+D119*D121</f>
        <v>0</v>
      </c>
      <c r="E124" s="285">
        <f>+E119*E121</f>
        <v>0</v>
      </c>
      <c r="F124" s="285">
        <f>+F119*F121</f>
        <v>0</v>
      </c>
      <c r="G124" s="285">
        <f>+G119*G121</f>
        <v>0</v>
      </c>
      <c r="H124" s="253"/>
    </row>
    <row r="125" spans="1:8">
      <c r="A125" s="26" t="s">
        <v>539</v>
      </c>
      <c r="B125" s="28"/>
      <c r="C125" s="28"/>
      <c r="D125" s="28"/>
      <c r="E125" s="28"/>
      <c r="F125" s="28"/>
      <c r="G125" s="28"/>
      <c r="H125" s="28"/>
    </row>
    <row r="129" spans="1:8" ht="15.75">
      <c r="A129" s="249" t="s">
        <v>82</v>
      </c>
      <c r="B129" s="249"/>
      <c r="C129" s="249"/>
      <c r="D129" s="249"/>
      <c r="E129" s="249"/>
      <c r="F129" s="249"/>
      <c r="G129" s="249"/>
      <c r="H129" s="249"/>
    </row>
    <row r="130" spans="1:8" ht="15.75">
      <c r="A130" s="249" t="s">
        <v>270</v>
      </c>
      <c r="B130" s="249"/>
      <c r="C130" s="249"/>
      <c r="D130" s="249"/>
      <c r="E130" s="249"/>
      <c r="F130" s="249"/>
      <c r="G130" s="249"/>
      <c r="H130" s="249"/>
    </row>
    <row r="131" spans="1:8" ht="15.75">
      <c r="A131" s="279" t="s">
        <v>57</v>
      </c>
      <c r="B131" s="279"/>
      <c r="C131" s="279"/>
      <c r="D131" s="279"/>
      <c r="E131" s="279"/>
      <c r="F131" s="279"/>
      <c r="G131" s="279"/>
      <c r="H131" s="249"/>
    </row>
    <row r="132" spans="1:8" ht="16.5" thickBot="1">
      <c r="B132" s="270" t="s">
        <v>262</v>
      </c>
    </row>
    <row r="133" spans="1:8" ht="16.5" thickBot="1">
      <c r="A133" s="30" t="s">
        <v>58</v>
      </c>
      <c r="B133" s="249"/>
      <c r="C133" s="381" t="s">
        <v>59</v>
      </c>
      <c r="D133" s="381"/>
      <c r="E133" s="381"/>
      <c r="F133" s="381"/>
      <c r="G133" s="381"/>
      <c r="H133" s="249"/>
    </row>
    <row r="135" spans="1:8" ht="15.75">
      <c r="A135" s="286" t="s">
        <v>60</v>
      </c>
      <c r="B135" s="272">
        <f t="shared" ref="B135:G135" si="6">+B$28</f>
        <v>0</v>
      </c>
      <c r="C135" s="272">
        <f t="shared" si="6"/>
        <v>1</v>
      </c>
      <c r="D135" s="272">
        <f t="shared" si="6"/>
        <v>2</v>
      </c>
      <c r="E135" s="272">
        <f t="shared" si="6"/>
        <v>3</v>
      </c>
      <c r="F135" s="272">
        <f t="shared" si="6"/>
        <v>4</v>
      </c>
      <c r="G135" s="272">
        <f t="shared" si="6"/>
        <v>5</v>
      </c>
      <c r="H135" s="71"/>
    </row>
    <row r="137" spans="1:8">
      <c r="A137" s="26" t="s">
        <v>263</v>
      </c>
      <c r="C137" s="250">
        <f>+C$30</f>
        <v>1</v>
      </c>
      <c r="D137" s="250">
        <f>+D$30</f>
        <v>1</v>
      </c>
      <c r="E137" s="250">
        <f>+E$30</f>
        <v>1</v>
      </c>
      <c r="F137" s="250">
        <f>+F$30</f>
        <v>1</v>
      </c>
      <c r="G137" s="250">
        <f>+G$30</f>
        <v>1</v>
      </c>
      <c r="H137" s="250"/>
    </row>
    <row r="138" spans="1:8">
      <c r="C138" s="28"/>
      <c r="D138" s="28"/>
      <c r="E138" s="28"/>
      <c r="F138" s="28"/>
      <c r="G138" s="28"/>
    </row>
    <row r="139" spans="1:8">
      <c r="A139" s="27" t="s">
        <v>83</v>
      </c>
      <c r="B139" s="28"/>
      <c r="C139" s="28">
        <f>+C86</f>
        <v>2221592240</v>
      </c>
      <c r="D139" s="28">
        <f>+C139*'VARIABLES DEL PROYECTO'!$D$65</f>
        <v>2231589405.0799999</v>
      </c>
      <c r="E139" s="28">
        <f>+D139*'VARIABLES DEL PROYECTO'!$D$65</f>
        <v>2241631557.4028597</v>
      </c>
      <c r="F139" s="28">
        <f>+E139*'VARIABLES DEL PROYECTO'!$D$65</f>
        <v>2251718899.4111724</v>
      </c>
      <c r="G139" s="28">
        <f>+F139*'VARIABLES DEL PROYECTO'!$D$65</f>
        <v>2261851634.4585223</v>
      </c>
      <c r="H139" s="28"/>
    </row>
    <row r="140" spans="1:8">
      <c r="B140" s="28"/>
      <c r="C140" s="28"/>
      <c r="D140" s="28"/>
      <c r="E140" s="28"/>
      <c r="F140" s="28"/>
      <c r="G140" s="28"/>
      <c r="H140" s="28"/>
    </row>
    <row r="141" spans="1:8">
      <c r="A141" s="252" t="s">
        <v>84</v>
      </c>
      <c r="B141" s="28"/>
      <c r="C141" s="28">
        <f>+C105</f>
        <v>73200000</v>
      </c>
      <c r="D141" s="28">
        <f>+C141*'VARIABLES DEL PROYECTO'!$D$65</f>
        <v>73529400</v>
      </c>
      <c r="E141" s="28">
        <f>+D141*'VARIABLES DEL PROYECTO'!$D$65</f>
        <v>73860282.299999997</v>
      </c>
      <c r="F141" s="28">
        <f>+E141*'VARIABLES DEL PROYECTO'!$D$65</f>
        <v>74192653.570349991</v>
      </c>
      <c r="G141" s="28">
        <f>+F141*'VARIABLES DEL PROYECTO'!$D$65</f>
        <v>74526520.511416569</v>
      </c>
      <c r="H141" s="28"/>
    </row>
    <row r="142" spans="1:8">
      <c r="B142" s="28"/>
      <c r="C142" s="28"/>
      <c r="D142" s="28"/>
      <c r="E142" s="28"/>
      <c r="F142" s="28"/>
      <c r="G142" s="28"/>
      <c r="H142" s="28"/>
    </row>
    <row r="143" spans="1:8">
      <c r="A143" s="27" t="s">
        <v>271</v>
      </c>
      <c r="B143" s="28"/>
      <c r="C143" s="28">
        <f>+C124</f>
        <v>0</v>
      </c>
      <c r="D143" s="28">
        <f>+D124</f>
        <v>0</v>
      </c>
      <c r="E143" s="28">
        <f>+E124</f>
        <v>0</v>
      </c>
      <c r="F143" s="28">
        <f>+F124</f>
        <v>0</v>
      </c>
      <c r="G143" s="28">
        <f>+G124</f>
        <v>0</v>
      </c>
      <c r="H143" s="28"/>
    </row>
    <row r="144" spans="1:8">
      <c r="B144" s="28"/>
      <c r="C144" s="28"/>
      <c r="D144" s="28"/>
      <c r="E144" s="28"/>
      <c r="F144" s="28"/>
      <c r="G144" s="28"/>
      <c r="H144" s="28"/>
    </row>
    <row r="145" spans="1:8">
      <c r="A145" s="26" t="s">
        <v>272</v>
      </c>
      <c r="B145" s="28"/>
      <c r="C145" s="28">
        <f>+C37</f>
        <v>12032250</v>
      </c>
      <c r="D145" s="28">
        <f>+D37</f>
        <v>12032250</v>
      </c>
      <c r="E145" s="28">
        <f>+E37</f>
        <v>12032250</v>
      </c>
      <c r="F145" s="28">
        <f>+F37</f>
        <v>12032250</v>
      </c>
      <c r="G145" s="28">
        <f>+G37</f>
        <v>12032250</v>
      </c>
      <c r="H145" s="28"/>
    </row>
    <row r="146" spans="1:8">
      <c r="B146" s="28"/>
      <c r="C146" s="28"/>
      <c r="D146" s="28"/>
      <c r="E146" s="28"/>
      <c r="F146" s="28"/>
      <c r="G146" s="28"/>
      <c r="H146" s="28"/>
    </row>
    <row r="147" spans="1:8">
      <c r="C147" s="28"/>
      <c r="D147" s="28"/>
      <c r="E147" s="28"/>
      <c r="F147" s="28"/>
      <c r="G147" s="28"/>
    </row>
    <row r="148" spans="1:8" ht="15.75">
      <c r="A148" s="30" t="s">
        <v>85</v>
      </c>
      <c r="B148" s="30"/>
      <c r="C148" s="266">
        <f>SUM(C139:C145)</f>
        <v>2306824490</v>
      </c>
      <c r="D148" s="266">
        <f>SUM(D139:D145)</f>
        <v>2317151055.0799999</v>
      </c>
      <c r="E148" s="266">
        <f>SUM(E139:E145)</f>
        <v>2327524089.7028599</v>
      </c>
      <c r="F148" s="266">
        <f>SUM(F139:F145)</f>
        <v>2337943802.9815226</v>
      </c>
      <c r="G148" s="266">
        <f>SUM(G139:G145)</f>
        <v>2348410404.9699388</v>
      </c>
      <c r="H148" s="28"/>
    </row>
    <row r="149" spans="1:8">
      <c r="B149" s="28"/>
      <c r="C149" s="28"/>
      <c r="D149" s="28"/>
      <c r="E149" s="28"/>
      <c r="F149" s="28"/>
      <c r="G149" s="28"/>
      <c r="H149" s="28"/>
    </row>
    <row r="150" spans="1:8">
      <c r="C150" s="28"/>
      <c r="D150" s="28"/>
      <c r="E150" s="28"/>
      <c r="F150" s="28"/>
      <c r="G150" s="28"/>
    </row>
    <row r="151" spans="1:8">
      <c r="A151" s="26" t="s">
        <v>273</v>
      </c>
      <c r="C151" s="28">
        <f>+'VARIABLES DEL PROYECTO'!D28</f>
        <v>26970000</v>
      </c>
      <c r="D151" s="28">
        <f>+C151*'VARIABLES DEL PROYECTO'!$D$65</f>
        <v>27091365</v>
      </c>
      <c r="E151" s="28">
        <f>+D151*'VARIABLES DEL PROYECTO'!$D$65</f>
        <v>27213276.142499998</v>
      </c>
      <c r="F151" s="28">
        <f>+E151*'VARIABLES DEL PROYECTO'!$D$65</f>
        <v>27335735.885141246</v>
      </c>
      <c r="G151" s="28">
        <f>+F151*'VARIABLES DEL PROYECTO'!$D$65</f>
        <v>27458746.69662438</v>
      </c>
      <c r="H151" s="28"/>
    </row>
    <row r="152" spans="1:8">
      <c r="C152" s="28"/>
      <c r="D152" s="28"/>
      <c r="E152" s="28"/>
      <c r="F152" s="28"/>
      <c r="G152" s="28"/>
      <c r="H152" s="254"/>
    </row>
    <row r="153" spans="1:8">
      <c r="A153" s="252" t="s">
        <v>86</v>
      </c>
      <c r="C153" s="28">
        <f>+'VARIABLES DEL PROYECTO'!D29</f>
        <v>5000000</v>
      </c>
      <c r="D153" s="28">
        <f>+C153*'VARIABLES DEL PROYECTO'!$D$65</f>
        <v>5022500</v>
      </c>
      <c r="E153" s="28">
        <f>+D153*'VARIABLES DEL PROYECTO'!$D$65</f>
        <v>5045101.25</v>
      </c>
      <c r="F153" s="28">
        <f>+E153*'VARIABLES DEL PROYECTO'!$D$65</f>
        <v>5067804.2056249995</v>
      </c>
      <c r="G153" s="28">
        <f>+F153*'VARIABLES DEL PROYECTO'!$D$65</f>
        <v>5090609.324550312</v>
      </c>
      <c r="H153" s="28"/>
    </row>
    <row r="154" spans="1:8">
      <c r="C154" s="28"/>
      <c r="D154" s="28"/>
      <c r="E154" s="28"/>
      <c r="F154" s="28"/>
      <c r="G154" s="28"/>
      <c r="H154" s="254"/>
    </row>
    <row r="155" spans="1:8">
      <c r="A155" s="27" t="s">
        <v>274</v>
      </c>
      <c r="C155" s="28">
        <f>+'VARIABLES DEL PROYECTO'!D30</f>
        <v>0</v>
      </c>
      <c r="D155" s="28">
        <f>+'VARIABLES DEL PROYECTO'!E30</f>
        <v>0</v>
      </c>
      <c r="E155" s="28">
        <f>+'VARIABLES DEL PROYECTO'!F30</f>
        <v>0</v>
      </c>
      <c r="F155" s="28">
        <f>+'VARIABLES DEL PROYECTO'!G30</f>
        <v>0</v>
      </c>
      <c r="G155" s="28">
        <f>+'VARIABLES DEL PROYECTO'!H30</f>
        <v>0</v>
      </c>
      <c r="H155" s="28"/>
    </row>
    <row r="156" spans="1:8">
      <c r="C156" s="28"/>
      <c r="D156" s="28"/>
      <c r="E156" s="28"/>
      <c r="F156" s="28"/>
      <c r="G156" s="28"/>
      <c r="H156" s="254"/>
    </row>
    <row r="157" spans="1:8">
      <c r="A157" s="26" t="s">
        <v>266</v>
      </c>
      <c r="C157" s="28">
        <f>+C51</f>
        <v>0</v>
      </c>
      <c r="D157" s="28">
        <f>+D51</f>
        <v>0</v>
      </c>
      <c r="E157" s="28">
        <f>+E51</f>
        <v>0</v>
      </c>
      <c r="F157" s="28">
        <f>+F51</f>
        <v>0</v>
      </c>
      <c r="G157" s="28">
        <f>+G51</f>
        <v>0</v>
      </c>
      <c r="H157" s="28"/>
    </row>
    <row r="158" spans="1:8">
      <c r="B158" s="28"/>
      <c r="C158" s="28"/>
      <c r="D158" s="28"/>
      <c r="E158" s="28"/>
      <c r="F158" s="28"/>
      <c r="G158" s="28"/>
      <c r="H158" s="28"/>
    </row>
    <row r="159" spans="1:8">
      <c r="C159" s="28"/>
      <c r="D159" s="28"/>
      <c r="E159" s="28"/>
      <c r="F159" s="28"/>
      <c r="G159" s="28"/>
    </row>
    <row r="160" spans="1:8" ht="15.75">
      <c r="A160" s="259" t="s">
        <v>87</v>
      </c>
      <c r="B160" s="30"/>
      <c r="C160" s="266">
        <f>SUM(C151:C157)</f>
        <v>31970000</v>
      </c>
      <c r="D160" s="266">
        <f>SUM(D151:D157)</f>
        <v>32113865</v>
      </c>
      <c r="E160" s="266">
        <f>SUM(E151:E157)</f>
        <v>32258377.392499998</v>
      </c>
      <c r="F160" s="266">
        <f>SUM(F151:F157)</f>
        <v>32403540.090766244</v>
      </c>
      <c r="G160" s="266">
        <f>SUM(G151:G157)</f>
        <v>32549356.021174692</v>
      </c>
      <c r="H160" s="28"/>
    </row>
    <row r="161" spans="1:10">
      <c r="B161" s="28"/>
      <c r="C161" s="28"/>
      <c r="D161" s="28"/>
      <c r="E161" s="28"/>
      <c r="F161" s="28"/>
      <c r="G161" s="28"/>
      <c r="H161" s="28"/>
    </row>
    <row r="162" spans="1:10">
      <c r="C162" s="28"/>
      <c r="D162" s="28"/>
      <c r="E162" s="28"/>
      <c r="F162" s="28"/>
      <c r="G162" s="28"/>
    </row>
    <row r="163" spans="1:10">
      <c r="A163" s="252" t="s">
        <v>88</v>
      </c>
      <c r="C163" s="28">
        <f>+C160+C148</f>
        <v>2338794490</v>
      </c>
      <c r="D163" s="28">
        <f>+D160+D148</f>
        <v>2349264920.0799999</v>
      </c>
      <c r="E163" s="28">
        <f>+E160+E148</f>
        <v>2359782467.0953598</v>
      </c>
      <c r="F163" s="28">
        <f>+F160+F148</f>
        <v>2370347343.072289</v>
      </c>
      <c r="G163" s="28">
        <f>+G160+G148</f>
        <v>2380959760.9911137</v>
      </c>
      <c r="H163" s="28"/>
    </row>
    <row r="164" spans="1:10">
      <c r="C164" s="28"/>
      <c r="D164" s="28"/>
      <c r="E164" s="28"/>
      <c r="F164" s="28"/>
      <c r="G164" s="28"/>
    </row>
    <row r="165" spans="1:10">
      <c r="A165" s="27" t="s">
        <v>275</v>
      </c>
      <c r="C165" s="28">
        <f>+C65</f>
        <v>0</v>
      </c>
      <c r="D165" s="28">
        <f>+D65</f>
        <v>0</v>
      </c>
      <c r="E165" s="28">
        <f>+E65</f>
        <v>0</v>
      </c>
      <c r="F165" s="28">
        <f>+F65</f>
        <v>0</v>
      </c>
      <c r="G165" s="28">
        <f>+G65</f>
        <v>0</v>
      </c>
      <c r="H165" s="28"/>
    </row>
    <row r="166" spans="1:10">
      <c r="B166" s="28"/>
      <c r="C166" s="28"/>
      <c r="D166" s="28"/>
      <c r="E166" s="28"/>
      <c r="F166" s="28"/>
      <c r="G166" s="28"/>
      <c r="H166" s="28"/>
    </row>
    <row r="167" spans="1:10">
      <c r="C167" s="28"/>
      <c r="D167" s="28"/>
      <c r="E167" s="28"/>
      <c r="F167" s="28"/>
      <c r="G167" s="28"/>
    </row>
    <row r="168" spans="1:10" ht="15.75">
      <c r="A168" s="30" t="s">
        <v>89</v>
      </c>
      <c r="C168" s="28"/>
      <c r="D168" s="28"/>
      <c r="E168" s="28"/>
      <c r="F168" s="28"/>
      <c r="G168" s="28"/>
    </row>
    <row r="169" spans="1:10" ht="15.75">
      <c r="A169" s="286" t="s">
        <v>276</v>
      </c>
      <c r="B169" s="287"/>
      <c r="C169" s="287">
        <f>+C163+C165</f>
        <v>2338794490</v>
      </c>
      <c r="D169" s="287">
        <f>+D163+D165</f>
        <v>2349264920.0799999</v>
      </c>
      <c r="E169" s="287">
        <f>+E163+E165</f>
        <v>2359782467.0953598</v>
      </c>
      <c r="F169" s="287">
        <f>+F163+F165</f>
        <v>2370347343.072289</v>
      </c>
      <c r="G169" s="287">
        <f>+G163+G165</f>
        <v>2380959760.9911137</v>
      </c>
      <c r="H169" s="28"/>
    </row>
    <row r="170" spans="1:10">
      <c r="A170" s="26" t="s">
        <v>539</v>
      </c>
    </row>
    <row r="173" spans="1:10" ht="15.75">
      <c r="A173" s="249" t="s">
        <v>90</v>
      </c>
      <c r="B173" s="249"/>
      <c r="C173" s="249"/>
      <c r="D173" s="249"/>
      <c r="E173" s="249"/>
      <c r="F173" s="249"/>
      <c r="G173" s="249"/>
      <c r="H173" s="249"/>
      <c r="I173" s="249"/>
      <c r="J173" s="249"/>
    </row>
    <row r="174" spans="1:10" ht="15.75">
      <c r="A174" s="249" t="s">
        <v>93</v>
      </c>
      <c r="B174" s="249"/>
      <c r="C174" s="343"/>
      <c r="D174" s="343"/>
      <c r="E174" s="343"/>
      <c r="F174" s="343"/>
      <c r="G174" s="249"/>
      <c r="H174" s="249"/>
      <c r="I174" s="249"/>
      <c r="J174" s="249"/>
    </row>
    <row r="175" spans="1:10" ht="15.75">
      <c r="A175" s="279" t="s">
        <v>57</v>
      </c>
      <c r="B175" s="279"/>
      <c r="C175" s="279"/>
      <c r="D175" s="279"/>
      <c r="E175" s="279"/>
      <c r="F175" s="279"/>
      <c r="G175" s="279"/>
      <c r="H175" s="279"/>
      <c r="I175" s="249"/>
      <c r="J175" s="249"/>
    </row>
    <row r="176" spans="1:10" ht="15.75">
      <c r="B176" s="276" t="s">
        <v>277</v>
      </c>
    </row>
    <row r="177" spans="1:10" ht="16.5" thickBot="1">
      <c r="A177" s="30" t="s">
        <v>58</v>
      </c>
      <c r="B177" s="268" t="s">
        <v>91</v>
      </c>
      <c r="C177" s="381" t="s">
        <v>60</v>
      </c>
      <c r="D177" s="381"/>
      <c r="E177" s="381"/>
      <c r="F177" s="381"/>
      <c r="G177" s="381"/>
      <c r="H177" s="381"/>
      <c r="I177" s="249"/>
      <c r="J177" s="249"/>
    </row>
    <row r="179" spans="1:10" ht="15.75">
      <c r="A179" s="286" t="s">
        <v>60</v>
      </c>
      <c r="B179" s="271"/>
      <c r="C179" s="272">
        <f t="shared" ref="C179:H179" si="7">+B$28</f>
        <v>0</v>
      </c>
      <c r="D179" s="272">
        <f t="shared" si="7"/>
        <v>1</v>
      </c>
      <c r="E179" s="272">
        <f t="shared" si="7"/>
        <v>2</v>
      </c>
      <c r="F179" s="272">
        <f t="shared" si="7"/>
        <v>3</v>
      </c>
      <c r="G179" s="272">
        <f t="shared" si="7"/>
        <v>4</v>
      </c>
      <c r="H179" s="272">
        <f t="shared" si="7"/>
        <v>5</v>
      </c>
      <c r="I179" s="71"/>
    </row>
    <row r="180" spans="1:10">
      <c r="E180" s="250"/>
      <c r="F180" s="250"/>
      <c r="G180" s="250"/>
      <c r="H180" s="250"/>
      <c r="I180" s="250"/>
      <c r="J180" s="250"/>
    </row>
    <row r="182" spans="1:10">
      <c r="A182" s="27" t="s">
        <v>83</v>
      </c>
      <c r="C182" s="28"/>
      <c r="D182" s="28"/>
      <c r="E182" s="251"/>
      <c r="F182" s="251"/>
      <c r="G182" s="251"/>
      <c r="H182" s="251"/>
      <c r="I182" s="251"/>
      <c r="J182" s="251"/>
    </row>
    <row r="183" spans="1:10">
      <c r="C183" s="28"/>
      <c r="D183" s="28"/>
      <c r="E183" s="28"/>
      <c r="F183" s="28"/>
      <c r="G183" s="28"/>
      <c r="H183" s="28"/>
      <c r="I183" s="28"/>
      <c r="J183" s="28"/>
    </row>
    <row r="184" spans="1:10">
      <c r="A184" s="252" t="s">
        <v>84</v>
      </c>
      <c r="B184" s="26">
        <f>+'VARIABLES DEL PROYECTO'!B43</f>
        <v>30</v>
      </c>
      <c r="C184" s="26">
        <f>IF(B184=0,0,(360/B184))</f>
        <v>12</v>
      </c>
      <c r="D184" s="28">
        <f>+C141/$C184</f>
        <v>6100000</v>
      </c>
      <c r="E184" s="28">
        <f>+D141/$C184</f>
        <v>6127450</v>
      </c>
      <c r="F184" s="28">
        <f>+E141/$C184</f>
        <v>6155023.5249999994</v>
      </c>
      <c r="G184" s="28">
        <f>+F141/$C184</f>
        <v>6182721.1308624996</v>
      </c>
      <c r="H184" s="28">
        <f>+G141/$C184</f>
        <v>6210543.3759513805</v>
      </c>
      <c r="I184" s="28"/>
    </row>
    <row r="185" spans="1:10">
      <c r="C185" s="26">
        <f>IF(B185=0,0,(360/B185))</f>
        <v>0</v>
      </c>
      <c r="D185" s="28"/>
      <c r="E185" s="28"/>
      <c r="F185" s="28"/>
      <c r="G185" s="28"/>
      <c r="H185" s="28"/>
      <c r="I185" s="28"/>
    </row>
    <row r="186" spans="1:10">
      <c r="A186" s="27" t="s">
        <v>271</v>
      </c>
      <c r="B186" s="26">
        <f>+'VARIABLES DEL PROYECTO'!B44</f>
        <v>0</v>
      </c>
      <c r="C186" s="26">
        <f>IF(B186=0,0,(360/B186))</f>
        <v>0</v>
      </c>
      <c r="D186" s="28">
        <v>0</v>
      </c>
      <c r="E186" s="28">
        <v>0</v>
      </c>
      <c r="F186" s="28">
        <v>0</v>
      </c>
      <c r="G186" s="28">
        <v>0</v>
      </c>
      <c r="H186" s="28">
        <v>0</v>
      </c>
      <c r="I186" s="251"/>
    </row>
    <row r="187" spans="1:10">
      <c r="C187" s="26">
        <f>IF(B187=0,0,(360/B187))</f>
        <v>0</v>
      </c>
      <c r="D187" s="28"/>
      <c r="E187" s="28"/>
      <c r="F187" s="28"/>
      <c r="G187" s="28"/>
      <c r="H187" s="28"/>
      <c r="I187" s="28"/>
    </row>
    <row r="188" spans="1:10">
      <c r="A188" s="27" t="s">
        <v>273</v>
      </c>
      <c r="B188" s="26">
        <f>+'VARIABLES DEL PROYECTO'!B45</f>
        <v>30</v>
      </c>
      <c r="C188" s="26">
        <f>IF(B188=0,0,(360/B188))</f>
        <v>12</v>
      </c>
      <c r="D188" s="28">
        <f>+C151/$C188</f>
        <v>2247500</v>
      </c>
      <c r="E188" s="28">
        <f>+D151/$C188</f>
        <v>2257613.75</v>
      </c>
      <c r="F188" s="28">
        <f>+E151/$C188</f>
        <v>2267773.0118749999</v>
      </c>
      <c r="G188" s="28">
        <f>+F151/$C188</f>
        <v>2277977.990428437</v>
      </c>
      <c r="H188" s="28">
        <f>+G151/$C188</f>
        <v>2288228.8913853648</v>
      </c>
      <c r="I188" s="28"/>
    </row>
    <row r="189" spans="1:10">
      <c r="D189" s="28"/>
      <c r="E189" s="28"/>
      <c r="F189" s="28"/>
      <c r="G189" s="28"/>
      <c r="H189" s="28"/>
      <c r="I189" s="28"/>
    </row>
    <row r="190" spans="1:10">
      <c r="A190" s="252" t="s">
        <v>86</v>
      </c>
      <c r="B190" s="26">
        <f>+'VARIABLES DEL PROYECTO'!B46</f>
        <v>30</v>
      </c>
      <c r="C190" s="26">
        <f>IF(B190=0,0,(360/B190))</f>
        <v>12</v>
      </c>
      <c r="D190" s="28">
        <f>+C153/$C190</f>
        <v>416666.66666666669</v>
      </c>
      <c r="E190" s="28">
        <f>+D153/$C190</f>
        <v>418541.66666666669</v>
      </c>
      <c r="F190" s="28">
        <f>+E153/$C190</f>
        <v>420425.10416666669</v>
      </c>
      <c r="G190" s="28">
        <f>+F153/$C190</f>
        <v>422317.01713541662</v>
      </c>
      <c r="H190" s="28">
        <f>+G153/$C190</f>
        <v>424217.443712526</v>
      </c>
      <c r="I190" s="28"/>
    </row>
    <row r="191" spans="1:10">
      <c r="D191" s="28"/>
      <c r="E191" s="28"/>
      <c r="F191" s="28"/>
      <c r="G191" s="28"/>
      <c r="H191" s="28"/>
      <c r="I191" s="28"/>
    </row>
    <row r="192" spans="1:10">
      <c r="A192" s="27" t="s">
        <v>274</v>
      </c>
      <c r="B192" s="26">
        <f>+'VARIABLES DEL PROYECTO'!B47</f>
        <v>0</v>
      </c>
      <c r="C192" s="26">
        <f>IF(B192=0,0,(360/B192))</f>
        <v>0</v>
      </c>
      <c r="D192" s="28">
        <v>0</v>
      </c>
      <c r="E192" s="28">
        <v>0</v>
      </c>
      <c r="F192" s="28">
        <v>0</v>
      </c>
      <c r="G192" s="28">
        <v>0</v>
      </c>
      <c r="H192" s="28">
        <v>0</v>
      </c>
      <c r="I192" s="251"/>
    </row>
    <row r="193" spans="1:10">
      <c r="B193" s="28"/>
      <c r="C193" s="28"/>
      <c r="D193" s="28"/>
      <c r="E193" s="28"/>
      <c r="F193" s="28"/>
      <c r="G193" s="28"/>
      <c r="H193" s="28"/>
      <c r="I193" s="28"/>
    </row>
    <row r="194" spans="1:10">
      <c r="D194" s="28"/>
      <c r="E194" s="28"/>
      <c r="F194" s="28"/>
      <c r="G194" s="28"/>
      <c r="H194" s="28"/>
    </row>
    <row r="195" spans="1:10" ht="16.5" thickBot="1">
      <c r="A195" s="275" t="s">
        <v>92</v>
      </c>
      <c r="B195" s="275"/>
      <c r="C195" s="275"/>
      <c r="D195" s="282">
        <f>SUM(D182:D194)</f>
        <v>8764166.666666666</v>
      </c>
      <c r="E195" s="282">
        <f>SUM(E182:E194)</f>
        <v>8803605.416666666</v>
      </c>
      <c r="F195" s="282">
        <f>SUM(F182:F194)</f>
        <v>8843221.6410416644</v>
      </c>
      <c r="G195" s="282">
        <f>SUM(G182:G194)</f>
        <v>8883016.1384263542</v>
      </c>
      <c r="H195" s="282">
        <f>SUM(H182:H194)</f>
        <v>8922989.7110492699</v>
      </c>
      <c r="I195" s="28"/>
    </row>
    <row r="196" spans="1:10">
      <c r="A196" s="26" t="s">
        <v>539</v>
      </c>
      <c r="B196" s="28"/>
      <c r="C196" s="28"/>
      <c r="D196" s="28"/>
      <c r="E196" s="28"/>
      <c r="F196" s="28"/>
      <c r="G196" s="28"/>
      <c r="H196" s="28"/>
      <c r="I196" s="28"/>
      <c r="J196" s="28"/>
    </row>
    <row r="201" spans="1:10" ht="15.75">
      <c r="A201" s="249" t="s">
        <v>94</v>
      </c>
      <c r="B201" s="249"/>
      <c r="C201" s="249"/>
      <c r="D201" s="249"/>
      <c r="E201" s="249"/>
      <c r="F201" s="249"/>
      <c r="G201" s="249"/>
      <c r="H201" s="249"/>
      <c r="I201" s="249"/>
      <c r="J201" s="249"/>
    </row>
    <row r="202" spans="1:10" ht="15.75">
      <c r="A202" s="249" t="s">
        <v>95</v>
      </c>
      <c r="B202" s="249"/>
      <c r="C202" s="343"/>
      <c r="D202" s="343"/>
      <c r="E202" s="343"/>
      <c r="F202" s="343"/>
      <c r="G202" s="249"/>
      <c r="H202" s="249"/>
      <c r="I202" s="249"/>
      <c r="J202" s="249"/>
    </row>
    <row r="203" spans="1:10" ht="15.75">
      <c r="A203" s="279" t="s">
        <v>57</v>
      </c>
      <c r="B203" s="279"/>
      <c r="C203" s="279"/>
      <c r="D203" s="279"/>
      <c r="E203" s="279"/>
      <c r="F203" s="279"/>
      <c r="G203" s="279"/>
      <c r="H203" s="279"/>
      <c r="I203" s="249"/>
      <c r="J203" s="249"/>
    </row>
    <row r="204" spans="1:10" ht="15.75">
      <c r="B204" s="276" t="s">
        <v>277</v>
      </c>
      <c r="C204" s="288"/>
      <c r="D204" s="288"/>
      <c r="E204" s="288"/>
      <c r="F204" s="288"/>
      <c r="G204" s="288"/>
      <c r="H204" s="288"/>
    </row>
    <row r="205" spans="1:10" ht="16.5" thickBot="1">
      <c r="A205" s="30" t="s">
        <v>58</v>
      </c>
      <c r="B205" s="268" t="s">
        <v>91</v>
      </c>
      <c r="C205" s="381" t="s">
        <v>60</v>
      </c>
      <c r="D205" s="381"/>
      <c r="E205" s="381"/>
      <c r="F205" s="381"/>
      <c r="G205" s="381"/>
      <c r="H205" s="381"/>
      <c r="I205" s="249"/>
      <c r="J205" s="249"/>
    </row>
    <row r="207" spans="1:10" ht="15.75">
      <c r="A207" s="286" t="s">
        <v>60</v>
      </c>
      <c r="B207" s="271"/>
      <c r="C207" s="272">
        <f t="shared" ref="C207:H207" si="8">+B$28</f>
        <v>0</v>
      </c>
      <c r="D207" s="272">
        <f t="shared" si="8"/>
        <v>1</v>
      </c>
      <c r="E207" s="272">
        <f t="shared" si="8"/>
        <v>2</v>
      </c>
      <c r="F207" s="272">
        <f t="shared" si="8"/>
        <v>3</v>
      </c>
      <c r="G207" s="272">
        <f t="shared" si="8"/>
        <v>4</v>
      </c>
      <c r="H207" s="272">
        <f t="shared" si="8"/>
        <v>5</v>
      </c>
      <c r="I207" s="71"/>
    </row>
    <row r="208" spans="1:10">
      <c r="E208" s="250"/>
      <c r="F208" s="250"/>
      <c r="G208" s="250"/>
      <c r="H208" s="250"/>
      <c r="I208" s="250"/>
      <c r="J208" s="250"/>
    </row>
    <row r="210" spans="1:10">
      <c r="A210" s="27" t="s">
        <v>96</v>
      </c>
      <c r="C210" s="28"/>
      <c r="D210" s="28"/>
      <c r="E210" s="251"/>
      <c r="F210" s="251"/>
      <c r="G210" s="251"/>
      <c r="H210" s="251"/>
      <c r="I210" s="251"/>
      <c r="J210" s="251"/>
    </row>
    <row r="211" spans="1:10">
      <c r="C211" s="28"/>
      <c r="D211" s="28"/>
      <c r="E211" s="28"/>
      <c r="F211" s="28"/>
      <c r="G211" s="28"/>
      <c r="H211" s="28"/>
      <c r="I211" s="28"/>
      <c r="J211" s="28"/>
    </row>
    <row r="212" spans="1:10">
      <c r="A212" s="27" t="s">
        <v>97</v>
      </c>
      <c r="C212" s="28"/>
      <c r="D212" s="28">
        <f>+D195</f>
        <v>8764166.666666666</v>
      </c>
      <c r="E212" s="28">
        <f>+E195</f>
        <v>8803605.416666666</v>
      </c>
      <c r="F212" s="28">
        <f>+F195</f>
        <v>8843221.6410416644</v>
      </c>
      <c r="G212" s="28">
        <f>+G195</f>
        <v>8883016.1384263542</v>
      </c>
      <c r="H212" s="28">
        <f>+H195</f>
        <v>8922989.7110492699</v>
      </c>
      <c r="I212" s="28"/>
    </row>
    <row r="213" spans="1:10">
      <c r="A213" s="26" t="s">
        <v>98</v>
      </c>
      <c r="C213" s="28"/>
      <c r="D213" s="28"/>
      <c r="E213" s="28"/>
      <c r="F213" s="28"/>
      <c r="G213" s="28"/>
      <c r="H213" s="28"/>
      <c r="I213" s="28"/>
    </row>
    <row r="214" spans="1:10">
      <c r="A214" s="27" t="s">
        <v>99</v>
      </c>
      <c r="C214" s="26">
        <f>IF(B214=0,0,(360/B214))</f>
        <v>0</v>
      </c>
      <c r="D214" s="28">
        <f>IF(C214=0,0,C163/$C214)</f>
        <v>0</v>
      </c>
      <c r="E214" s="28">
        <f>IF(D214=0,0,D163/$C214)</f>
        <v>0</v>
      </c>
      <c r="F214" s="28">
        <f>IF(E214=0,0,E163/$C214)</f>
        <v>0</v>
      </c>
      <c r="G214" s="28">
        <f>IF(F214=0,0,F163/$C214)</f>
        <v>0</v>
      </c>
      <c r="H214" s="28">
        <f>IF(G214=0,0,G163/$C214)</f>
        <v>0</v>
      </c>
      <c r="I214" s="28"/>
    </row>
    <row r="215" spans="1:10">
      <c r="A215" s="255" t="s">
        <v>100</v>
      </c>
      <c r="D215" s="28"/>
      <c r="E215" s="28"/>
      <c r="F215" s="28"/>
      <c r="G215" s="28"/>
      <c r="H215" s="28"/>
      <c r="I215" s="28"/>
    </row>
    <row r="216" spans="1:10">
      <c r="A216" s="252" t="s">
        <v>101</v>
      </c>
      <c r="B216" s="26">
        <f>+'VARIABLES DEL PROYECTO'!B50</f>
        <v>30</v>
      </c>
      <c r="C216" s="26">
        <f>IF(B216=0,0,(360/B216))</f>
        <v>12</v>
      </c>
      <c r="D216" s="28">
        <f>+C139/$C216</f>
        <v>185132686.66666666</v>
      </c>
      <c r="E216" s="28">
        <f>+D139/$C216</f>
        <v>185965783.75666666</v>
      </c>
      <c r="F216" s="28">
        <f>+E139/$C216</f>
        <v>186802629.78357163</v>
      </c>
      <c r="G216" s="28">
        <f>+F139/$C216</f>
        <v>187643241.6175977</v>
      </c>
      <c r="H216" s="28">
        <f>+G139/$C216</f>
        <v>188487636.20487687</v>
      </c>
      <c r="I216" s="28"/>
    </row>
    <row r="217" spans="1:10">
      <c r="A217" s="26" t="s">
        <v>102</v>
      </c>
      <c r="B217" s="26">
        <f>+'VARIABLES DEL PROYECTO'!B51</f>
        <v>0</v>
      </c>
      <c r="C217" s="26">
        <f>IF(B217=0,0,(360/B217))</f>
        <v>0</v>
      </c>
      <c r="D217" s="28"/>
      <c r="E217" s="28"/>
      <c r="F217" s="28"/>
      <c r="G217" s="28"/>
      <c r="H217" s="28"/>
      <c r="I217" s="251"/>
    </row>
    <row r="218" spans="1:10">
      <c r="A218" s="27" t="s">
        <v>103</v>
      </c>
      <c r="B218" s="26">
        <f>+'VARIABLES DEL PROYECTO'!B52</f>
        <v>0</v>
      </c>
      <c r="C218" s="26">
        <f>IF(B218=0,0,(360/B218))</f>
        <v>0</v>
      </c>
      <c r="D218" s="28"/>
      <c r="E218" s="28"/>
      <c r="F218" s="28"/>
      <c r="G218" s="28"/>
      <c r="H218" s="28"/>
      <c r="I218" s="251"/>
    </row>
    <row r="219" spans="1:10">
      <c r="C219" s="28"/>
      <c r="D219" s="28"/>
      <c r="E219" s="28"/>
      <c r="F219" s="28"/>
      <c r="G219" s="28"/>
      <c r="H219" s="28"/>
      <c r="I219" s="28"/>
    </row>
    <row r="220" spans="1:10" ht="15.75">
      <c r="A220" s="294" t="s">
        <v>104</v>
      </c>
      <c r="B220" s="30"/>
      <c r="C220" s="266"/>
      <c r="D220" s="266">
        <f>SUM(D212:D218)</f>
        <v>193896853.33333331</v>
      </c>
      <c r="E220" s="266">
        <f>SUM(E212:E218)</f>
        <v>194769389.17333332</v>
      </c>
      <c r="F220" s="266">
        <f>SUM(F212:F218)</f>
        <v>195645851.4246133</v>
      </c>
      <c r="G220" s="266">
        <f>SUM(G212:G218)</f>
        <v>196526257.75602406</v>
      </c>
      <c r="H220" s="266">
        <f>SUM(H212:H218)</f>
        <v>197410625.91592613</v>
      </c>
      <c r="I220" s="28"/>
    </row>
    <row r="221" spans="1:10" ht="16.5" customHeight="1">
      <c r="D221" s="28"/>
      <c r="E221" s="28"/>
      <c r="F221" s="28"/>
      <c r="G221" s="28"/>
      <c r="H221" s="28"/>
    </row>
    <row r="222" spans="1:10">
      <c r="A222" s="26" t="s">
        <v>105</v>
      </c>
      <c r="D222" s="28">
        <f>+D220</f>
        <v>193896853.33333331</v>
      </c>
      <c r="E222" s="28">
        <f>+E220</f>
        <v>194769389.17333332</v>
      </c>
      <c r="F222" s="28">
        <f>+F220</f>
        <v>195645851.4246133</v>
      </c>
      <c r="G222" s="28">
        <f>+G220</f>
        <v>196526257.75602406</v>
      </c>
      <c r="H222" s="28">
        <f>+H220</f>
        <v>197410625.91592613</v>
      </c>
      <c r="I222" s="28"/>
    </row>
    <row r="223" spans="1:10">
      <c r="B223" s="28"/>
      <c r="C223" s="28"/>
      <c r="D223" s="28"/>
      <c r="E223" s="28"/>
      <c r="F223" s="28"/>
      <c r="G223" s="28"/>
      <c r="H223" s="28"/>
      <c r="I223" s="28"/>
      <c r="J223" s="28"/>
    </row>
    <row r="225" spans="1:10">
      <c r="A225" s="252" t="s">
        <v>106</v>
      </c>
      <c r="C225" s="28"/>
      <c r="D225" s="28"/>
      <c r="E225" s="251"/>
      <c r="F225" s="251"/>
      <c r="G225" s="251"/>
      <c r="H225" s="251"/>
      <c r="I225" s="251"/>
      <c r="J225" s="251"/>
    </row>
    <row r="226" spans="1:10">
      <c r="C226" s="28"/>
      <c r="D226" s="28"/>
      <c r="E226" s="28"/>
      <c r="F226" s="28"/>
      <c r="G226" s="28"/>
      <c r="H226" s="28"/>
      <c r="I226" s="28"/>
      <c r="J226" s="28"/>
    </row>
    <row r="227" spans="1:10">
      <c r="A227" s="252" t="s">
        <v>107</v>
      </c>
      <c r="C227" s="28"/>
      <c r="D227" s="28"/>
      <c r="E227" s="251"/>
      <c r="F227" s="251"/>
      <c r="G227" s="251"/>
      <c r="H227" s="251"/>
      <c r="I227" s="251"/>
      <c r="J227" s="251"/>
    </row>
    <row r="228" spans="1:10">
      <c r="A228" s="252" t="s">
        <v>101</v>
      </c>
      <c r="B228" s="26">
        <v>0</v>
      </c>
      <c r="C228" s="26">
        <f t="shared" ref="C228:C233" si="9">IF(B228=0,0,(360/B228))</f>
        <v>0</v>
      </c>
      <c r="D228" s="28">
        <f>+IF($C228=0,0,C139/$C228)</f>
        <v>0</v>
      </c>
      <c r="E228" s="28">
        <f>+IF($C228=0,0,D139/$C228)</f>
        <v>0</v>
      </c>
      <c r="F228" s="28">
        <f>+IF($C228=0,0,E139/$C228)</f>
        <v>0</v>
      </c>
      <c r="G228" s="28">
        <f>+IF($C228=0,0,F139/$C228)</f>
        <v>0</v>
      </c>
      <c r="H228" s="28">
        <f>+IF($C228=0,0,G139/$C228)</f>
        <v>0</v>
      </c>
      <c r="I228" s="28"/>
    </row>
    <row r="229" spans="1:10">
      <c r="A229" s="252" t="s">
        <v>108</v>
      </c>
      <c r="B229" s="26">
        <f>+'VARIABLES DEL PROYECTO'!B56</f>
        <v>0</v>
      </c>
      <c r="C229" s="26">
        <f t="shared" si="9"/>
        <v>0</v>
      </c>
      <c r="D229" s="28">
        <f>+IF($C229=0,0,C141/$C229)</f>
        <v>0</v>
      </c>
      <c r="E229" s="28">
        <f>+IF($C229=0,0,D141/$C229)</f>
        <v>0</v>
      </c>
      <c r="F229" s="28">
        <f>+IF($C229=0,0,E141/$C229)</f>
        <v>0</v>
      </c>
      <c r="G229" s="28">
        <f>+IF($C229=0,0,F141/$C229)</f>
        <v>0</v>
      </c>
      <c r="H229" s="28">
        <f>+IF($C229=0,0,G141/$C229)</f>
        <v>0</v>
      </c>
      <c r="I229" s="251"/>
    </row>
    <row r="230" spans="1:10">
      <c r="A230" s="27" t="s">
        <v>278</v>
      </c>
      <c r="B230" s="26">
        <f>+'VARIABLES DEL PROYECTO'!B57</f>
        <v>0</v>
      </c>
      <c r="C230" s="26">
        <f t="shared" si="9"/>
        <v>0</v>
      </c>
      <c r="D230" s="28">
        <f>+IF($C230=0,0,C143/$C230)</f>
        <v>0</v>
      </c>
      <c r="E230" s="28">
        <f>+IF($C230=0,0,D143/$C230)</f>
        <v>0</v>
      </c>
      <c r="F230" s="28">
        <f>+IF($C230=0,0,E143/$C230)</f>
        <v>0</v>
      </c>
      <c r="G230" s="28">
        <f>+IF($C230=0,0,F143/$C230)</f>
        <v>0</v>
      </c>
      <c r="H230" s="28">
        <f>+IF($C230=0,0,G143/$C230)</f>
        <v>0</v>
      </c>
      <c r="I230" s="251"/>
    </row>
    <row r="231" spans="1:10">
      <c r="A231" s="27" t="s">
        <v>279</v>
      </c>
      <c r="B231" s="26">
        <f>+'VARIABLES DEL PROYECTO'!B58</f>
        <v>0</v>
      </c>
      <c r="C231" s="26">
        <f t="shared" si="9"/>
        <v>0</v>
      </c>
      <c r="D231" s="28">
        <f>+IF($C231=0,0,C151/$C231)</f>
        <v>0</v>
      </c>
      <c r="E231" s="28">
        <f>+IF($C231=0,0,D151/$C231)</f>
        <v>0</v>
      </c>
      <c r="F231" s="28">
        <f>+IF($C231=0,0,E151/$C231)</f>
        <v>0</v>
      </c>
      <c r="G231" s="28">
        <f>+IF($C231=0,0,F151/$C231)</f>
        <v>0</v>
      </c>
      <c r="H231" s="28">
        <f>+IF($C231=0,0,G151/$C231)</f>
        <v>0</v>
      </c>
      <c r="I231" s="251"/>
    </row>
    <row r="232" spans="1:10">
      <c r="A232" s="252" t="s">
        <v>109</v>
      </c>
      <c r="B232" s="26">
        <f>+'VARIABLES DEL PROYECTO'!B59</f>
        <v>0</v>
      </c>
      <c r="C232" s="26">
        <f t="shared" si="9"/>
        <v>0</v>
      </c>
      <c r="D232" s="28">
        <f>+IF($C232=0,0,C153/$C232)</f>
        <v>0</v>
      </c>
      <c r="E232" s="28">
        <f>+IF($C232=0,0,D153/$C232)</f>
        <v>0</v>
      </c>
      <c r="F232" s="28">
        <f>+IF($C232=0,0,E153/$C232)</f>
        <v>0</v>
      </c>
      <c r="G232" s="28">
        <f>+IF($C232=0,0,F153/$C232)</f>
        <v>0</v>
      </c>
      <c r="H232" s="28">
        <f>+IF($C232=0,0,G153/$C232)</f>
        <v>0</v>
      </c>
      <c r="I232" s="251"/>
    </row>
    <row r="233" spans="1:10">
      <c r="A233" s="27" t="s">
        <v>280</v>
      </c>
      <c r="B233" s="26">
        <f>+'VARIABLES DEL PROYECTO'!B60</f>
        <v>0</v>
      </c>
      <c r="C233" s="26">
        <f t="shared" si="9"/>
        <v>0</v>
      </c>
      <c r="D233" s="28">
        <f>+IF($C233=0,0,C155/$C233)</f>
        <v>0</v>
      </c>
      <c r="E233" s="28">
        <f>+IF($C233=0,0,D155/$C233)</f>
        <v>0</v>
      </c>
      <c r="F233" s="28">
        <f>+IF($C233=0,0,E155/$C233)</f>
        <v>0</v>
      </c>
      <c r="G233" s="28">
        <f>+IF($C233=0,0,F155/$C233)</f>
        <v>0</v>
      </c>
      <c r="H233" s="28">
        <f>+IF($C233=0,0,G155/$C233)</f>
        <v>0</v>
      </c>
      <c r="I233" s="251"/>
    </row>
    <row r="234" spans="1:10">
      <c r="C234" s="28"/>
      <c r="D234" s="28"/>
      <c r="E234" s="28"/>
      <c r="F234" s="28"/>
      <c r="G234" s="28"/>
      <c r="H234" s="28"/>
      <c r="I234" s="28"/>
    </row>
    <row r="235" spans="1:10" ht="15.75">
      <c r="A235" s="259" t="s">
        <v>112</v>
      </c>
      <c r="B235" s="30"/>
      <c r="C235" s="266"/>
      <c r="D235" s="266">
        <f>SUM(D228:D234)</f>
        <v>0</v>
      </c>
      <c r="E235" s="266">
        <f>SUM(E228:E234)</f>
        <v>0</v>
      </c>
      <c r="F235" s="266">
        <f>SUM(F228:F234)</f>
        <v>0</v>
      </c>
      <c r="G235" s="266">
        <f>SUM(G228:G234)</f>
        <v>0</v>
      </c>
      <c r="H235" s="266">
        <f>SUM(H228:H234)</f>
        <v>0</v>
      </c>
      <c r="I235" s="28"/>
    </row>
    <row r="236" spans="1:10">
      <c r="D236" s="28"/>
      <c r="E236" s="28"/>
      <c r="F236" s="28"/>
      <c r="G236" s="28"/>
      <c r="H236" s="28"/>
    </row>
    <row r="237" spans="1:10">
      <c r="A237" s="252" t="s">
        <v>113</v>
      </c>
      <c r="D237" s="28">
        <f>+D235</f>
        <v>0</v>
      </c>
      <c r="E237" s="28">
        <f>+E235-D235</f>
        <v>0</v>
      </c>
      <c r="F237" s="28">
        <f>+F235-E235</f>
        <v>0</v>
      </c>
      <c r="G237" s="28">
        <f>+G235-F235</f>
        <v>0</v>
      </c>
      <c r="H237" s="28">
        <f>+H235-G235</f>
        <v>0</v>
      </c>
      <c r="I237" s="28"/>
    </row>
    <row r="238" spans="1:10">
      <c r="D238" s="28"/>
      <c r="E238" s="28"/>
      <c r="F238" s="28"/>
      <c r="G238" s="28"/>
      <c r="H238" s="28"/>
    </row>
    <row r="239" spans="1:10" ht="15.75">
      <c r="A239" s="30" t="s">
        <v>110</v>
      </c>
      <c r="D239" s="28"/>
      <c r="E239" s="28"/>
      <c r="F239" s="28"/>
      <c r="G239" s="28"/>
      <c r="H239" s="28"/>
    </row>
    <row r="240" spans="1:10" ht="15.75">
      <c r="A240" s="30" t="s">
        <v>111</v>
      </c>
      <c r="B240" s="30"/>
      <c r="C240" s="30"/>
      <c r="D240" s="266">
        <f>+D220-D235</f>
        <v>193896853.33333331</v>
      </c>
      <c r="E240" s="266">
        <f>+E220-E235</f>
        <v>194769389.17333332</v>
      </c>
      <c r="F240" s="266">
        <f>+F220-F235</f>
        <v>195645851.4246133</v>
      </c>
      <c r="G240" s="266">
        <f>+G220-G235</f>
        <v>196526257.75602406</v>
      </c>
      <c r="H240" s="266">
        <f>+H220-H235</f>
        <v>197410625.91592613</v>
      </c>
      <c r="I240" s="28"/>
    </row>
    <row r="241" spans="1:10">
      <c r="D241" s="28"/>
      <c r="E241" s="28"/>
      <c r="F241" s="28"/>
      <c r="G241" s="28"/>
      <c r="H241" s="28"/>
    </row>
    <row r="242" spans="1:10" ht="16.5" thickBot="1">
      <c r="A242" s="275" t="s">
        <v>114</v>
      </c>
      <c r="B242" s="275"/>
      <c r="C242" s="275"/>
      <c r="D242" s="282">
        <f>+D240</f>
        <v>193896853.33333331</v>
      </c>
      <c r="E242" s="282">
        <f>+E240-D240</f>
        <v>872535.84000000358</v>
      </c>
      <c r="F242" s="282">
        <f>+F240-E240</f>
        <v>876462.25127997994</v>
      </c>
      <c r="G242" s="282">
        <f>+G240-F240</f>
        <v>880406.33141076565</v>
      </c>
      <c r="H242" s="282">
        <f>+H240-G240</f>
        <v>884368.15990206599</v>
      </c>
      <c r="I242" s="28"/>
    </row>
    <row r="243" spans="1:10">
      <c r="A243" s="26" t="s">
        <v>539</v>
      </c>
      <c r="B243" s="28"/>
      <c r="C243" s="28"/>
      <c r="D243" s="28"/>
      <c r="E243" s="28"/>
      <c r="F243" s="28"/>
      <c r="G243" s="28"/>
      <c r="H243" s="28"/>
      <c r="I243" s="28"/>
      <c r="J243" s="28"/>
    </row>
    <row r="246" spans="1:10" ht="15.75">
      <c r="A246" s="249" t="s">
        <v>115</v>
      </c>
      <c r="B246" s="249"/>
      <c r="C246" s="249"/>
      <c r="D246" s="249"/>
      <c r="E246" s="249"/>
      <c r="F246" s="249"/>
      <c r="G246" s="249"/>
      <c r="H246" s="249"/>
    </row>
    <row r="247" spans="1:10" ht="15.75">
      <c r="A247" s="249" t="s">
        <v>116</v>
      </c>
      <c r="B247" s="249"/>
      <c r="C247" s="343"/>
      <c r="D247" s="343"/>
      <c r="E247" s="343"/>
      <c r="F247" s="249"/>
      <c r="G247" s="249"/>
      <c r="H247" s="249"/>
    </row>
    <row r="248" spans="1:10" ht="15.75">
      <c r="A248" s="279" t="s">
        <v>57</v>
      </c>
      <c r="B248" s="279"/>
      <c r="C248" s="279"/>
      <c r="D248" s="279"/>
      <c r="E248" s="279"/>
      <c r="F248" s="279"/>
      <c r="G248" s="249"/>
      <c r="H248" s="249"/>
    </row>
    <row r="249" spans="1:10" ht="16.5" thickBot="1">
      <c r="B249" s="270" t="s">
        <v>262</v>
      </c>
    </row>
    <row r="250" spans="1:10" ht="16.5" thickBot="1">
      <c r="A250" s="30" t="s">
        <v>58</v>
      </c>
      <c r="B250" s="249"/>
      <c r="C250" s="268" t="s">
        <v>125</v>
      </c>
      <c r="D250" s="268" t="s">
        <v>59</v>
      </c>
      <c r="E250" s="268"/>
      <c r="F250" s="268"/>
      <c r="G250" s="71"/>
      <c r="H250" s="71"/>
      <c r="I250" s="249"/>
    </row>
    <row r="251" spans="1:10">
      <c r="C251" s="26" t="s">
        <v>125</v>
      </c>
    </row>
    <row r="252" spans="1:10" ht="15.75">
      <c r="A252" s="286" t="s">
        <v>60</v>
      </c>
      <c r="B252" s="272">
        <f>+B$28</f>
        <v>0</v>
      </c>
      <c r="C252" s="272">
        <v>2</v>
      </c>
      <c r="D252" s="272">
        <v>3</v>
      </c>
      <c r="E252" s="272">
        <v>4</v>
      </c>
      <c r="F252" s="272">
        <v>5</v>
      </c>
      <c r="G252" s="71"/>
      <c r="H252" s="71"/>
      <c r="I252" s="71"/>
    </row>
    <row r="254" spans="1:10">
      <c r="A254" s="26" t="s">
        <v>263</v>
      </c>
      <c r="C254" s="250"/>
      <c r="D254" s="250">
        <f>+C$30</f>
        <v>1</v>
      </c>
      <c r="E254" s="250">
        <f>+D$30</f>
        <v>1</v>
      </c>
      <c r="F254" s="250">
        <f>+E$30</f>
        <v>1</v>
      </c>
      <c r="G254" s="250"/>
      <c r="H254" s="250"/>
      <c r="I254" s="250"/>
    </row>
    <row r="256" spans="1:10">
      <c r="A256" s="252" t="s">
        <v>117</v>
      </c>
      <c r="C256" s="28"/>
      <c r="D256" s="28"/>
      <c r="E256" s="251"/>
      <c r="F256" s="251"/>
      <c r="G256" s="251"/>
      <c r="H256" s="251"/>
      <c r="I256" s="251"/>
      <c r="J256" s="251"/>
    </row>
    <row r="257" spans="1:10">
      <c r="A257" s="252" t="s">
        <v>118</v>
      </c>
      <c r="C257" s="28"/>
      <c r="D257" s="28"/>
      <c r="E257" s="251"/>
      <c r="F257" s="251"/>
      <c r="G257" s="251"/>
      <c r="H257" s="251"/>
      <c r="I257" s="251"/>
      <c r="J257" s="251"/>
    </row>
    <row r="258" spans="1:10">
      <c r="A258" s="252" t="s">
        <v>119</v>
      </c>
      <c r="B258" s="28">
        <f>'VARIABLES DEL PROYECTO'!C9</f>
        <v>0</v>
      </c>
      <c r="C258" s="251"/>
      <c r="D258" s="251"/>
      <c r="E258" s="251"/>
      <c r="F258" s="251"/>
      <c r="G258" s="251"/>
      <c r="H258" s="251"/>
      <c r="I258" s="251"/>
      <c r="J258" s="251"/>
    </row>
    <row r="259" spans="1:10">
      <c r="A259" s="252" t="s">
        <v>120</v>
      </c>
      <c r="B259" s="28">
        <f>+'VARIABLES DEL PROYECTO'!C10</f>
        <v>100000000</v>
      </c>
      <c r="C259" s="251"/>
      <c r="D259" s="251"/>
      <c r="E259" s="251"/>
      <c r="F259" s="251"/>
      <c r="G259" s="251"/>
      <c r="H259" s="251"/>
      <c r="I259" s="251"/>
      <c r="J259" s="251"/>
    </row>
    <row r="260" spans="1:10">
      <c r="A260" s="252" t="s">
        <v>121</v>
      </c>
      <c r="B260" s="28">
        <f>+'VARIABLES DEL PROYECTO'!C12</f>
        <v>7260000</v>
      </c>
      <c r="C260" s="28"/>
      <c r="D260" s="28"/>
      <c r="E260" s="28"/>
      <c r="F260" s="28"/>
      <c r="G260" s="28"/>
      <c r="H260" s="251"/>
      <c r="I260" s="251"/>
      <c r="J260" s="251"/>
    </row>
    <row r="261" spans="1:10">
      <c r="A261" s="27" t="s">
        <v>368</v>
      </c>
      <c r="B261" s="28">
        <f>+'VARIABLES DEL PROYECTO'!C14</f>
        <v>5402500</v>
      </c>
      <c r="C261" s="28"/>
      <c r="D261" s="28"/>
      <c r="E261" s="28">
        <f>+'VARIABLES DEL PROYECTO'!F14</f>
        <v>0</v>
      </c>
      <c r="F261" s="28"/>
      <c r="G261" s="28"/>
      <c r="H261" s="251"/>
      <c r="I261" s="251"/>
      <c r="J261" s="251"/>
    </row>
    <row r="262" spans="1:10">
      <c r="A262" s="252" t="s">
        <v>122</v>
      </c>
      <c r="B262" s="28">
        <f>+'VARIABLES DEL PROYECTO'!C16</f>
        <v>7660000</v>
      </c>
      <c r="C262" s="251"/>
      <c r="D262" s="251"/>
      <c r="E262" s="251"/>
      <c r="F262" s="251"/>
      <c r="G262" s="251"/>
      <c r="H262" s="251"/>
      <c r="I262" s="251"/>
      <c r="J262" s="251"/>
    </row>
    <row r="263" spans="1:10">
      <c r="A263" s="252" t="s">
        <v>123</v>
      </c>
      <c r="B263" s="28">
        <f>'VARIABLES DEL PROYECTO'!C18</f>
        <v>0</v>
      </c>
      <c r="C263" s="251"/>
      <c r="D263" s="251"/>
      <c r="E263" s="251"/>
      <c r="F263" s="251"/>
      <c r="G263" s="28"/>
      <c r="H263" s="28"/>
      <c r="I263" s="28"/>
    </row>
    <row r="264" spans="1:10">
      <c r="A264" s="252"/>
      <c r="B264" s="28"/>
      <c r="C264" s="251"/>
      <c r="D264" s="251"/>
      <c r="E264" s="251"/>
      <c r="F264" s="251"/>
      <c r="G264" s="251"/>
      <c r="H264" s="251"/>
      <c r="I264" s="251"/>
    </row>
    <row r="265" spans="1:10">
      <c r="A265" s="252"/>
      <c r="B265" s="28"/>
      <c r="C265" s="251"/>
      <c r="D265" s="251"/>
      <c r="E265" s="251"/>
      <c r="F265" s="251"/>
      <c r="G265" s="251"/>
      <c r="H265" s="251"/>
      <c r="I265" s="251"/>
    </row>
    <row r="266" spans="1:10" ht="15.75">
      <c r="A266" s="290" t="s">
        <v>124</v>
      </c>
      <c r="B266" s="266">
        <f>SUM(B258:B265)</f>
        <v>120322500</v>
      </c>
      <c r="C266" s="28"/>
      <c r="D266" s="28"/>
      <c r="E266" s="28">
        <f>SUM(E258:E265)</f>
        <v>0</v>
      </c>
      <c r="F266" s="28"/>
      <c r="G266" s="28"/>
      <c r="H266" s="28"/>
      <c r="I266" s="251"/>
    </row>
    <row r="267" spans="1:10">
      <c r="B267" s="28"/>
      <c r="C267" s="251"/>
      <c r="D267" s="251"/>
      <c r="E267" s="251"/>
      <c r="F267" s="251"/>
      <c r="G267" s="251"/>
      <c r="H267" s="251"/>
      <c r="I267" s="251"/>
    </row>
    <row r="268" spans="1:10">
      <c r="A268" s="252" t="s">
        <v>126</v>
      </c>
      <c r="B268" s="28">
        <f>+'VARIABLES DEL PROYECTO'!C22</f>
        <v>0</v>
      </c>
      <c r="C268" s="251"/>
      <c r="D268" s="251"/>
      <c r="E268" s="251"/>
      <c r="F268" s="251"/>
      <c r="G268" s="251"/>
      <c r="H268" s="251"/>
      <c r="I268" s="251"/>
    </row>
    <row r="269" spans="1:10">
      <c r="B269" s="28"/>
      <c r="C269" s="251"/>
      <c r="D269" s="251"/>
      <c r="E269" s="251"/>
      <c r="F269" s="251"/>
      <c r="G269" s="251"/>
      <c r="H269" s="251"/>
      <c r="I269" s="251"/>
    </row>
    <row r="270" spans="1:10">
      <c r="A270" s="252" t="s">
        <v>127</v>
      </c>
      <c r="B270" s="28"/>
      <c r="C270" s="28"/>
      <c r="D270" s="28"/>
      <c r="E270" s="28"/>
      <c r="F270" s="28"/>
      <c r="G270" s="28"/>
      <c r="H270" s="28"/>
      <c r="I270" s="28"/>
    </row>
    <row r="271" spans="1:10">
      <c r="A271" s="26" t="s">
        <v>128</v>
      </c>
      <c r="B271" s="28"/>
      <c r="C271" s="28"/>
      <c r="D271" s="28">
        <f>+D242</f>
        <v>193896853.33333331</v>
      </c>
      <c r="E271" s="28">
        <f>+E242</f>
        <v>872535.84000000358</v>
      </c>
      <c r="F271" s="28">
        <f>+F242</f>
        <v>876462.25127997994</v>
      </c>
      <c r="G271" s="28"/>
      <c r="H271" s="28"/>
      <c r="I271" s="28"/>
    </row>
    <row r="272" spans="1:10">
      <c r="A272" s="254"/>
      <c r="B272" s="28"/>
      <c r="C272" s="28"/>
      <c r="D272" s="28"/>
      <c r="E272" s="28"/>
      <c r="F272" s="28"/>
      <c r="G272" s="28"/>
      <c r="H272" s="28"/>
      <c r="I272" s="28"/>
    </row>
    <row r="273" spans="1:9">
      <c r="B273" s="28"/>
      <c r="C273" s="28"/>
      <c r="D273" s="28"/>
      <c r="E273" s="28"/>
      <c r="F273" s="28"/>
      <c r="G273" s="28"/>
      <c r="H273" s="28"/>
      <c r="I273" s="28"/>
    </row>
    <row r="274" spans="1:9" ht="16.5" thickBot="1">
      <c r="A274" s="275" t="s">
        <v>129</v>
      </c>
      <c r="B274" s="282">
        <f>+B266+B268+B271</f>
        <v>120322500</v>
      </c>
      <c r="C274" s="282"/>
      <c r="D274" s="282">
        <f>+D266+D268+D271</f>
        <v>193896853.33333331</v>
      </c>
      <c r="E274" s="282">
        <f>+E266+E268+E271</f>
        <v>872535.84000000358</v>
      </c>
      <c r="F274" s="282">
        <f>+F266+F268+F271</f>
        <v>876462.25127997994</v>
      </c>
      <c r="G274" s="28"/>
      <c r="H274" s="28"/>
      <c r="I274" s="28"/>
    </row>
    <row r="275" spans="1:9">
      <c r="A275" s="26" t="s">
        <v>539</v>
      </c>
      <c r="C275" s="28"/>
      <c r="D275" s="28"/>
      <c r="E275" s="28"/>
      <c r="F275" s="28"/>
      <c r="G275" s="28"/>
      <c r="H275" s="28"/>
      <c r="I275" s="28"/>
    </row>
    <row r="276" spans="1:9">
      <c r="C276" s="28"/>
      <c r="D276" s="28"/>
      <c r="E276" s="28"/>
      <c r="F276" s="28"/>
      <c r="G276" s="28"/>
      <c r="H276" s="28"/>
      <c r="I276" s="28"/>
    </row>
    <row r="277" spans="1:9">
      <c r="C277" s="28"/>
      <c r="D277" s="28"/>
      <c r="E277" s="28"/>
      <c r="F277" s="28"/>
      <c r="G277" s="28"/>
      <c r="H277" s="28"/>
      <c r="I277" s="28"/>
    </row>
    <row r="278" spans="1:9" ht="15.75">
      <c r="A278" s="249" t="s">
        <v>130</v>
      </c>
      <c r="B278" s="249"/>
      <c r="C278" s="249"/>
      <c r="D278" s="249"/>
      <c r="E278" s="249"/>
      <c r="F278" s="249"/>
      <c r="G278" s="249"/>
      <c r="H278" s="249"/>
    </row>
    <row r="279" spans="1:9" ht="15.75">
      <c r="A279" s="249" t="s">
        <v>131</v>
      </c>
      <c r="B279" s="249"/>
      <c r="C279" s="249"/>
      <c r="D279" s="249"/>
      <c r="E279" s="249"/>
      <c r="F279" s="249"/>
      <c r="G279" s="249"/>
      <c r="H279" s="249"/>
    </row>
    <row r="280" spans="1:9" ht="15.75">
      <c r="A280" s="279" t="s">
        <v>57</v>
      </c>
      <c r="B280" s="279"/>
      <c r="C280" s="279"/>
      <c r="D280" s="279"/>
      <c r="E280" s="279"/>
      <c r="F280" s="279"/>
      <c r="G280" s="279"/>
      <c r="H280" s="249"/>
    </row>
    <row r="281" spans="1:9" ht="16.5" thickBot="1">
      <c r="B281" s="270" t="s">
        <v>262</v>
      </c>
    </row>
    <row r="282" spans="1:9" ht="16.5" thickBot="1">
      <c r="A282" s="30" t="s">
        <v>58</v>
      </c>
      <c r="B282" s="249"/>
      <c r="C282" s="268" t="s">
        <v>125</v>
      </c>
      <c r="D282" s="268" t="s">
        <v>59</v>
      </c>
      <c r="E282" s="268"/>
      <c r="F282" s="268"/>
      <c r="G282" s="268"/>
      <c r="H282" s="249"/>
      <c r="I282" s="249"/>
    </row>
    <row r="283" spans="1:9">
      <c r="C283" s="26" t="s">
        <v>125</v>
      </c>
    </row>
    <row r="284" spans="1:9" ht="15.75">
      <c r="A284" s="286" t="s">
        <v>60</v>
      </c>
      <c r="B284" s="272">
        <f t="shared" ref="B284:G284" si="10">+B$28</f>
        <v>0</v>
      </c>
      <c r="C284" s="272">
        <f t="shared" si="10"/>
        <v>1</v>
      </c>
      <c r="D284" s="272">
        <f t="shared" si="10"/>
        <v>2</v>
      </c>
      <c r="E284" s="272">
        <f t="shared" si="10"/>
        <v>3</v>
      </c>
      <c r="F284" s="272">
        <f t="shared" si="10"/>
        <v>4</v>
      </c>
      <c r="G284" s="272">
        <f t="shared" si="10"/>
        <v>5</v>
      </c>
      <c r="H284" s="71"/>
    </row>
    <row r="286" spans="1:9">
      <c r="A286" s="26" t="s">
        <v>263</v>
      </c>
      <c r="C286" s="250"/>
      <c r="D286" s="250">
        <f>+C$30</f>
        <v>1</v>
      </c>
      <c r="E286" s="250">
        <f>+D$30</f>
        <v>1</v>
      </c>
      <c r="F286" s="250">
        <f>+E$30</f>
        <v>1</v>
      </c>
      <c r="G286" s="250">
        <f>+F$30</f>
        <v>1</v>
      </c>
      <c r="H286" s="250"/>
      <c r="I286" s="250"/>
    </row>
    <row r="288" spans="1:9">
      <c r="A288" s="27" t="s">
        <v>132</v>
      </c>
      <c r="B288" s="251"/>
      <c r="C288" s="28">
        <f>+$C$17</f>
        <v>2456479851.5999999</v>
      </c>
      <c r="D288" s="28">
        <f>+$D$17</f>
        <v>2467534010.9322</v>
      </c>
      <c r="E288" s="28">
        <f>+$E$17</f>
        <v>2478637913.9813948</v>
      </c>
      <c r="F288" s="28">
        <f>+$F$17</f>
        <v>2489791784.5943108</v>
      </c>
      <c r="G288" s="28">
        <f>+$G$17</f>
        <v>2500995847.6249852</v>
      </c>
      <c r="H288" s="28"/>
    </row>
    <row r="289" spans="1:8">
      <c r="A289" s="27" t="s">
        <v>136</v>
      </c>
      <c r="B289" s="251"/>
      <c r="C289" s="28">
        <v>0</v>
      </c>
      <c r="D289" s="28">
        <v>0</v>
      </c>
      <c r="E289" s="28">
        <v>0</v>
      </c>
      <c r="F289" s="28">
        <v>0</v>
      </c>
      <c r="G289" s="28">
        <v>0</v>
      </c>
      <c r="H289" s="28"/>
    </row>
    <row r="290" spans="1:8">
      <c r="A290" s="27" t="s">
        <v>137</v>
      </c>
      <c r="B290" s="251"/>
      <c r="C290" s="28"/>
      <c r="D290" s="28"/>
      <c r="E290" s="28"/>
      <c r="F290" s="28"/>
      <c r="G290" s="28"/>
      <c r="H290" s="28"/>
    </row>
    <row r="291" spans="1:8">
      <c r="A291" s="27" t="s">
        <v>281</v>
      </c>
      <c r="B291" s="251"/>
      <c r="C291" s="28">
        <f>+C$169</f>
        <v>2338794490</v>
      </c>
      <c r="D291" s="28">
        <f>+D$169</f>
        <v>2349264920.0799999</v>
      </c>
      <c r="E291" s="28">
        <f>+E$169</f>
        <v>2359782467.0953598</v>
      </c>
      <c r="F291" s="28">
        <f>+F$169</f>
        <v>2370347343.072289</v>
      </c>
      <c r="G291" s="28">
        <f>+G$169</f>
        <v>2380959760.9911137</v>
      </c>
      <c r="H291" s="28"/>
    </row>
    <row r="292" spans="1:8">
      <c r="A292" s="252" t="s">
        <v>138</v>
      </c>
      <c r="B292" s="251"/>
      <c r="C292" s="28">
        <v>0</v>
      </c>
      <c r="D292" s="28">
        <v>0</v>
      </c>
      <c r="E292" s="28">
        <v>0</v>
      </c>
      <c r="F292" s="28">
        <v>0</v>
      </c>
      <c r="G292" s="28">
        <v>0</v>
      </c>
      <c r="H292" s="28"/>
    </row>
    <row r="293" spans="1:8">
      <c r="A293" s="252"/>
      <c r="B293" s="254"/>
      <c r="C293" s="28"/>
      <c r="D293" s="28"/>
      <c r="E293" s="28"/>
      <c r="F293" s="28"/>
      <c r="G293" s="28"/>
      <c r="H293" s="28"/>
    </row>
    <row r="294" spans="1:8">
      <c r="A294" s="252"/>
      <c r="B294" s="254"/>
      <c r="C294" s="28"/>
      <c r="D294" s="28"/>
      <c r="E294" s="28"/>
      <c r="F294" s="28"/>
      <c r="G294" s="28"/>
      <c r="H294" s="28"/>
    </row>
    <row r="295" spans="1:8" ht="15.75">
      <c r="A295" s="290" t="s">
        <v>139</v>
      </c>
      <c r="B295" s="295"/>
      <c r="C295" s="266">
        <f>+C288+C289-C291-C292</f>
        <v>117685361.5999999</v>
      </c>
      <c r="D295" s="266">
        <f>+D288+D289-D291-D292</f>
        <v>118269090.85220003</v>
      </c>
      <c r="E295" s="266">
        <f>+E288+E289-E291-E292</f>
        <v>118855446.88603497</v>
      </c>
      <c r="F295" s="266">
        <f>+F288+F289-F291-F292</f>
        <v>119444441.52202177</v>
      </c>
      <c r="G295" s="266">
        <f>+G288+G289-G291-G292</f>
        <v>120036086.63387156</v>
      </c>
      <c r="H295" s="28"/>
    </row>
    <row r="296" spans="1:8">
      <c r="C296" s="28"/>
      <c r="D296" s="28"/>
      <c r="E296" s="28"/>
      <c r="F296" s="28"/>
      <c r="G296" s="28"/>
      <c r="H296" s="28"/>
    </row>
    <row r="297" spans="1:8">
      <c r="A297" s="27" t="s">
        <v>531</v>
      </c>
      <c r="B297" s="254"/>
      <c r="C297" s="28">
        <f>+C295*'VARIABLES DEL PROYECTO'!$B$31</f>
        <v>41189876.559999965</v>
      </c>
      <c r="D297" s="28">
        <f>+D295*'VARIABLES DEL PROYECTO'!$B$31</f>
        <v>41394181.798270009</v>
      </c>
      <c r="E297" s="28">
        <f>+E295*'VARIABLES DEL PROYECTO'!$B$31</f>
        <v>41599406.410112232</v>
      </c>
      <c r="F297" s="28">
        <f>+F295*'VARIABLES DEL PROYECTO'!$B$31</f>
        <v>41805554.532707617</v>
      </c>
      <c r="G297" s="28">
        <f>+G295*'VARIABLES DEL PROYECTO'!$B$31</f>
        <v>42012630.321855038</v>
      </c>
      <c r="H297" s="28"/>
    </row>
    <row r="298" spans="1:8">
      <c r="B298" s="254"/>
      <c r="C298" s="28"/>
      <c r="D298" s="28"/>
      <c r="E298" s="28"/>
      <c r="F298" s="28"/>
      <c r="G298" s="28"/>
      <c r="H298" s="28"/>
    </row>
    <row r="299" spans="1:8">
      <c r="A299" s="252"/>
      <c r="B299" s="254"/>
      <c r="C299" s="28"/>
      <c r="D299" s="28"/>
      <c r="E299" s="28"/>
      <c r="F299" s="28"/>
      <c r="G299" s="28"/>
      <c r="H299" s="28"/>
    </row>
    <row r="300" spans="1:8" ht="15.75">
      <c r="A300" s="30" t="s">
        <v>141</v>
      </c>
      <c r="B300" s="295"/>
      <c r="C300" s="266">
        <f>+C295-C297</f>
        <v>76495485.039999932</v>
      </c>
      <c r="D300" s="266">
        <f>+D295-D297</f>
        <v>76874909.053930014</v>
      </c>
      <c r="E300" s="266">
        <f>+E295-E297</f>
        <v>77256040.475922734</v>
      </c>
      <c r="F300" s="266">
        <f>+F295-F297</f>
        <v>77638886.989314154</v>
      </c>
      <c r="G300" s="266">
        <f>+G295-G297</f>
        <v>78023456.312016517</v>
      </c>
      <c r="H300" s="28"/>
    </row>
    <row r="301" spans="1:8">
      <c r="B301" s="254"/>
      <c r="C301" s="28"/>
      <c r="D301" s="28"/>
      <c r="E301" s="28"/>
      <c r="F301" s="28"/>
      <c r="G301" s="28"/>
      <c r="H301" s="28"/>
    </row>
    <row r="302" spans="1:8">
      <c r="A302" s="252" t="s">
        <v>142</v>
      </c>
      <c r="B302" s="254"/>
      <c r="C302" s="28">
        <f>+C300*'VARIABLES DEL PROYECTO'!$B$32</f>
        <v>0</v>
      </c>
      <c r="D302" s="28">
        <f>+D300*'VARIABLES DEL PROYECTO'!$B$32</f>
        <v>0</v>
      </c>
      <c r="E302" s="28">
        <f>+E300*'VARIABLES DEL PROYECTO'!$B$32</f>
        <v>0</v>
      </c>
      <c r="F302" s="28">
        <f>+F300*'VARIABLES DEL PROYECTO'!$B$32</f>
        <v>0</v>
      </c>
      <c r="G302" s="28">
        <f>+G300*'VARIABLES DEL PROYECTO'!$B$32</f>
        <v>0</v>
      </c>
      <c r="H302" s="28"/>
    </row>
    <row r="303" spans="1:8">
      <c r="B303" s="254"/>
      <c r="C303" s="28"/>
      <c r="D303" s="28"/>
      <c r="E303" s="28"/>
      <c r="F303" s="28"/>
      <c r="G303" s="28"/>
      <c r="H303" s="28"/>
    </row>
    <row r="304" spans="1:8">
      <c r="A304" s="252"/>
      <c r="B304" s="254"/>
      <c r="C304" s="28"/>
      <c r="D304" s="28"/>
      <c r="E304" s="28"/>
      <c r="F304" s="28"/>
      <c r="G304" s="28"/>
      <c r="H304" s="28"/>
    </row>
    <row r="305" spans="1:9">
      <c r="C305" s="28"/>
      <c r="D305" s="28"/>
      <c r="E305" s="28"/>
      <c r="F305" s="28"/>
      <c r="G305" s="28"/>
      <c r="H305" s="28"/>
    </row>
    <row r="306" spans="1:9">
      <c r="A306" s="26" t="s">
        <v>143</v>
      </c>
      <c r="B306" s="254"/>
      <c r="C306" s="28">
        <f>+C300-C302</f>
        <v>76495485.039999932</v>
      </c>
      <c r="D306" s="28">
        <f>+D300-D302</f>
        <v>76874909.053930014</v>
      </c>
      <c r="E306" s="28">
        <f>+E300-E302</f>
        <v>77256040.475922734</v>
      </c>
      <c r="F306" s="28">
        <f>+F300-F302</f>
        <v>77638886.989314154</v>
      </c>
      <c r="G306" s="28">
        <f>+G300-G302</f>
        <v>78023456.312016517</v>
      </c>
      <c r="H306" s="28"/>
    </row>
    <row r="307" spans="1:9">
      <c r="A307" s="26" t="s">
        <v>143</v>
      </c>
      <c r="B307" s="254"/>
      <c r="C307" s="28"/>
      <c r="D307" s="28"/>
      <c r="E307" s="28"/>
      <c r="F307" s="28"/>
      <c r="G307" s="28"/>
      <c r="H307" s="28"/>
    </row>
    <row r="308" spans="1:9" ht="15.75" thickBot="1">
      <c r="A308" s="283" t="s">
        <v>144</v>
      </c>
      <c r="B308" s="274"/>
      <c r="C308" s="284">
        <f>+B306+C306</f>
        <v>76495485.039999932</v>
      </c>
      <c r="D308" s="284">
        <f>+C308+D306</f>
        <v>153370394.09392995</v>
      </c>
      <c r="E308" s="284">
        <f>+D308+E306</f>
        <v>230626434.56985268</v>
      </c>
      <c r="F308" s="284">
        <f>+E308+F306</f>
        <v>308265321.55916685</v>
      </c>
      <c r="G308" s="284">
        <f>+F308+G306</f>
        <v>386288777.8711834</v>
      </c>
      <c r="H308" s="28"/>
    </row>
    <row r="309" spans="1:9">
      <c r="A309" s="26" t="s">
        <v>539</v>
      </c>
      <c r="B309" s="254"/>
      <c r="D309" s="254"/>
      <c r="E309" s="254"/>
      <c r="F309" s="254"/>
      <c r="G309" s="254"/>
      <c r="H309" s="254"/>
      <c r="I309" s="254"/>
    </row>
    <row r="312" spans="1:9" ht="15.75">
      <c r="A312" s="249" t="s">
        <v>134</v>
      </c>
      <c r="B312" s="249"/>
      <c r="C312" s="249"/>
      <c r="D312" s="249"/>
      <c r="E312" s="249"/>
      <c r="F312" s="249"/>
      <c r="G312" s="249"/>
      <c r="H312" s="249"/>
    </row>
    <row r="313" spans="1:9" ht="15.75">
      <c r="A313" s="249" t="s">
        <v>131</v>
      </c>
      <c r="B313" s="249"/>
      <c r="C313" s="249"/>
      <c r="D313" s="249"/>
      <c r="E313" s="249"/>
      <c r="F313" s="249"/>
      <c r="G313" s="249"/>
      <c r="H313" s="249"/>
    </row>
    <row r="314" spans="1:9" ht="15.75">
      <c r="A314" s="249" t="s">
        <v>135</v>
      </c>
      <c r="B314" s="249"/>
      <c r="C314" s="249"/>
      <c r="D314" s="249"/>
      <c r="E314" s="249"/>
      <c r="F314" s="249"/>
      <c r="G314" s="249"/>
      <c r="H314" s="249"/>
    </row>
    <row r="315" spans="1:9" ht="15.75">
      <c r="A315" s="279" t="s">
        <v>57</v>
      </c>
      <c r="B315" s="279"/>
      <c r="C315" s="279"/>
      <c r="D315" s="279"/>
      <c r="E315" s="279"/>
      <c r="F315" s="279"/>
      <c r="G315" s="279"/>
      <c r="H315" s="279"/>
    </row>
    <row r="316" spans="1:9" ht="16.5" thickBot="1">
      <c r="B316" s="270" t="s">
        <v>262</v>
      </c>
    </row>
    <row r="317" spans="1:9" ht="16.5" thickBot="1">
      <c r="A317" s="30" t="s">
        <v>58</v>
      </c>
      <c r="B317" s="249"/>
      <c r="C317" s="267" t="s">
        <v>125</v>
      </c>
      <c r="D317" s="267" t="s">
        <v>59</v>
      </c>
      <c r="E317" s="267"/>
      <c r="F317" s="267"/>
      <c r="G317" s="267"/>
      <c r="H317" s="267"/>
      <c r="I317" s="249"/>
    </row>
    <row r="318" spans="1:9">
      <c r="C318" s="26" t="s">
        <v>125</v>
      </c>
    </row>
    <row r="319" spans="1:9" ht="15.75">
      <c r="A319" s="286" t="s">
        <v>60</v>
      </c>
      <c r="B319" s="272">
        <f>+B$28</f>
        <v>0</v>
      </c>
      <c r="C319" s="272" t="s">
        <v>125</v>
      </c>
      <c r="D319" s="272">
        <f>+C$28</f>
        <v>1</v>
      </c>
      <c r="E319" s="272">
        <f>+D$28</f>
        <v>2</v>
      </c>
      <c r="F319" s="272">
        <f>+E$28</f>
        <v>3</v>
      </c>
      <c r="G319" s="272">
        <f>+F$28</f>
        <v>4</v>
      </c>
      <c r="H319" s="272">
        <f>+G$28</f>
        <v>5</v>
      </c>
      <c r="I319" s="71"/>
    </row>
    <row r="321" spans="1:9">
      <c r="A321" s="26" t="s">
        <v>263</v>
      </c>
      <c r="C321" s="250"/>
      <c r="D321" s="250">
        <f>+C$30</f>
        <v>1</v>
      </c>
      <c r="E321" s="250">
        <f>+D$30</f>
        <v>1</v>
      </c>
      <c r="F321" s="250">
        <f>+E$30</f>
        <v>1</v>
      </c>
      <c r="G321" s="250">
        <f>+F$30</f>
        <v>1</v>
      </c>
      <c r="H321" s="250">
        <f>+G$30</f>
        <v>1</v>
      </c>
      <c r="I321" s="250"/>
    </row>
    <row r="323" spans="1:9">
      <c r="A323" s="27" t="s">
        <v>132</v>
      </c>
      <c r="B323" s="251"/>
      <c r="C323" s="28">
        <f>+$C$17</f>
        <v>2456479851.5999999</v>
      </c>
      <c r="D323" s="28">
        <f>+$D$17</f>
        <v>2467534010.9322</v>
      </c>
      <c r="E323" s="28">
        <f>+$E$17</f>
        <v>2478637913.9813948</v>
      </c>
      <c r="F323" s="28">
        <f>+$F$17</f>
        <v>2489791784.5943108</v>
      </c>
      <c r="G323" s="28">
        <f>+$G$17</f>
        <v>2500995847.6249852</v>
      </c>
      <c r="H323" s="251">
        <f>+$H$17</f>
        <v>0</v>
      </c>
      <c r="I323" s="251"/>
    </row>
    <row r="324" spans="1:9">
      <c r="A324" s="27" t="s">
        <v>133</v>
      </c>
      <c r="B324" s="251"/>
      <c r="C324" s="28">
        <f>+$C$148</f>
        <v>2306824490</v>
      </c>
      <c r="D324" s="28">
        <f>+$D$148</f>
        <v>2317151055.0799999</v>
      </c>
      <c r="E324" s="28">
        <f>+$E$148</f>
        <v>2327524089.7028599</v>
      </c>
      <c r="F324" s="28">
        <f>+$F$148</f>
        <v>2337943802.9815226</v>
      </c>
      <c r="G324" s="28">
        <f>+$G$148</f>
        <v>2348410404.9699388</v>
      </c>
      <c r="H324" s="251">
        <f>+$H$148</f>
        <v>0</v>
      </c>
      <c r="I324" s="251"/>
    </row>
    <row r="325" spans="1:9">
      <c r="A325" s="252"/>
      <c r="B325" s="251"/>
      <c r="C325" s="28"/>
      <c r="D325" s="28"/>
      <c r="E325" s="28"/>
      <c r="F325" s="28"/>
      <c r="G325" s="28"/>
      <c r="H325" s="251"/>
    </row>
    <row r="326" spans="1:9">
      <c r="A326" s="27" t="s">
        <v>145</v>
      </c>
      <c r="B326" s="251"/>
      <c r="C326" s="28">
        <f t="shared" ref="C326:H326" si="11">+C323-C324</f>
        <v>149655361.5999999</v>
      </c>
      <c r="D326" s="28">
        <f t="shared" si="11"/>
        <v>150382955.85220003</v>
      </c>
      <c r="E326" s="28">
        <f t="shared" si="11"/>
        <v>151113824.27853489</v>
      </c>
      <c r="F326" s="28">
        <f t="shared" si="11"/>
        <v>151847981.6127882</v>
      </c>
      <c r="G326" s="28">
        <f t="shared" si="11"/>
        <v>152585442.65504646</v>
      </c>
      <c r="H326" s="251">
        <f t="shared" si="11"/>
        <v>0</v>
      </c>
      <c r="I326" s="251"/>
    </row>
    <row r="327" spans="1:9">
      <c r="A327" s="27" t="s">
        <v>146</v>
      </c>
      <c r="B327" s="251"/>
      <c r="C327" s="28">
        <f t="shared" ref="C327:H327" si="12">+C160</f>
        <v>31970000</v>
      </c>
      <c r="D327" s="28">
        <f t="shared" si="12"/>
        <v>32113865</v>
      </c>
      <c r="E327" s="28">
        <f t="shared" si="12"/>
        <v>32258377.392499998</v>
      </c>
      <c r="F327" s="28">
        <f t="shared" si="12"/>
        <v>32403540.090766244</v>
      </c>
      <c r="G327" s="28">
        <f t="shared" si="12"/>
        <v>32549356.021174692</v>
      </c>
      <c r="H327" s="251">
        <f t="shared" si="12"/>
        <v>0</v>
      </c>
      <c r="I327" s="251"/>
    </row>
    <row r="328" spans="1:9">
      <c r="A328" s="252"/>
      <c r="B328" s="251"/>
      <c r="C328" s="28"/>
      <c r="D328" s="28"/>
      <c r="E328" s="28"/>
      <c r="F328" s="28"/>
      <c r="G328" s="28"/>
      <c r="H328" s="251"/>
    </row>
    <row r="329" spans="1:9">
      <c r="A329" s="252"/>
      <c r="B329" s="251"/>
      <c r="C329" s="28"/>
      <c r="D329" s="28"/>
      <c r="E329" s="28"/>
      <c r="F329" s="28"/>
      <c r="G329" s="28"/>
      <c r="H329" s="251"/>
    </row>
    <row r="330" spans="1:9" ht="15.75">
      <c r="A330" s="294" t="s">
        <v>147</v>
      </c>
      <c r="B330" s="296"/>
      <c r="C330" s="266">
        <f t="shared" ref="C330:H330" si="13">+C326-C327</f>
        <v>117685361.5999999</v>
      </c>
      <c r="D330" s="266">
        <f t="shared" si="13"/>
        <v>118269090.85220003</v>
      </c>
      <c r="E330" s="266">
        <f t="shared" si="13"/>
        <v>118855446.88603489</v>
      </c>
      <c r="F330" s="266">
        <f t="shared" si="13"/>
        <v>119444441.52202195</v>
      </c>
      <c r="G330" s="266">
        <f t="shared" si="13"/>
        <v>120036086.63387176</v>
      </c>
      <c r="H330" s="296">
        <f t="shared" si="13"/>
        <v>0</v>
      </c>
      <c r="I330" s="251"/>
    </row>
    <row r="331" spans="1:9">
      <c r="A331" s="27"/>
      <c r="B331" s="251"/>
      <c r="C331" s="28"/>
      <c r="D331" s="28"/>
      <c r="E331" s="28"/>
      <c r="F331" s="28"/>
      <c r="G331" s="28"/>
      <c r="H331" s="251"/>
    </row>
    <row r="332" spans="1:9">
      <c r="A332" s="27" t="s">
        <v>136</v>
      </c>
      <c r="B332" s="251"/>
      <c r="C332" s="28">
        <f t="shared" ref="C332:H332" si="14">+C289</f>
        <v>0</v>
      </c>
      <c r="D332" s="28">
        <f t="shared" si="14"/>
        <v>0</v>
      </c>
      <c r="E332" s="28">
        <f t="shared" si="14"/>
        <v>0</v>
      </c>
      <c r="F332" s="28">
        <f t="shared" si="14"/>
        <v>0</v>
      </c>
      <c r="G332" s="28">
        <f t="shared" si="14"/>
        <v>0</v>
      </c>
      <c r="H332" s="251">
        <f t="shared" si="14"/>
        <v>0</v>
      </c>
    </row>
    <row r="333" spans="1:9">
      <c r="A333" s="252" t="s">
        <v>138</v>
      </c>
      <c r="B333" s="251"/>
      <c r="C333" s="28">
        <f t="shared" ref="C333:H333" si="15">+C292</f>
        <v>0</v>
      </c>
      <c r="D333" s="28">
        <f t="shared" si="15"/>
        <v>0</v>
      </c>
      <c r="E333" s="28">
        <f t="shared" si="15"/>
        <v>0</v>
      </c>
      <c r="F333" s="28">
        <f t="shared" si="15"/>
        <v>0</v>
      </c>
      <c r="G333" s="28">
        <f t="shared" si="15"/>
        <v>0</v>
      </c>
      <c r="H333" s="251">
        <f t="shared" si="15"/>
        <v>0</v>
      </c>
    </row>
    <row r="334" spans="1:9">
      <c r="A334" s="27" t="s">
        <v>282</v>
      </c>
      <c r="B334" s="251"/>
      <c r="C334" s="28">
        <f t="shared" ref="C334:H334" si="16">+C165</f>
        <v>0</v>
      </c>
      <c r="D334" s="28">
        <f t="shared" si="16"/>
        <v>0</v>
      </c>
      <c r="E334" s="28">
        <f t="shared" si="16"/>
        <v>0</v>
      </c>
      <c r="F334" s="28">
        <f t="shared" si="16"/>
        <v>0</v>
      </c>
      <c r="G334" s="28">
        <f t="shared" si="16"/>
        <v>0</v>
      </c>
      <c r="H334" s="251">
        <f t="shared" si="16"/>
        <v>0</v>
      </c>
    </row>
    <row r="335" spans="1:9">
      <c r="A335" s="252"/>
      <c r="B335" s="254"/>
      <c r="C335" s="28"/>
      <c r="D335" s="28"/>
      <c r="E335" s="28"/>
      <c r="F335" s="28"/>
      <c r="G335" s="28"/>
      <c r="H335" s="251"/>
    </row>
    <row r="336" spans="1:9">
      <c r="A336" s="252"/>
      <c r="B336" s="254"/>
      <c r="C336" s="28"/>
      <c r="D336" s="28"/>
      <c r="E336" s="28"/>
      <c r="F336" s="28"/>
      <c r="G336" s="28"/>
      <c r="H336" s="251"/>
    </row>
    <row r="337" spans="1:9" ht="15.75">
      <c r="A337" s="290" t="s">
        <v>139</v>
      </c>
      <c r="B337" s="295"/>
      <c r="C337" s="266">
        <f t="shared" ref="C337:H337" si="17">+C330+C332-C333-C334</f>
        <v>117685361.5999999</v>
      </c>
      <c r="D337" s="266">
        <f t="shared" si="17"/>
        <v>118269090.85220003</v>
      </c>
      <c r="E337" s="266">
        <f t="shared" si="17"/>
        <v>118855446.88603489</v>
      </c>
      <c r="F337" s="266">
        <f t="shared" si="17"/>
        <v>119444441.52202195</v>
      </c>
      <c r="G337" s="266">
        <f t="shared" si="17"/>
        <v>120036086.63387176</v>
      </c>
      <c r="H337" s="295">
        <f t="shared" si="17"/>
        <v>0</v>
      </c>
      <c r="I337" s="254"/>
    </row>
    <row r="338" spans="1:9">
      <c r="C338" s="28"/>
      <c r="D338" s="28"/>
      <c r="E338" s="28"/>
      <c r="F338" s="28"/>
      <c r="G338" s="28"/>
      <c r="H338" s="251"/>
    </row>
    <row r="339" spans="1:9">
      <c r="A339" s="27" t="s">
        <v>140</v>
      </c>
      <c r="B339" s="254"/>
      <c r="C339" s="28">
        <f>+C337*'VARIABLES DEL PROYECTO'!$B$31</f>
        <v>41189876.559999965</v>
      </c>
      <c r="D339" s="28">
        <f>+D337*'VARIABLES DEL PROYECTO'!$B$31</f>
        <v>41394181.798270009</v>
      </c>
      <c r="E339" s="28">
        <f>+E337*'VARIABLES DEL PROYECTO'!$B$31</f>
        <v>41599406.41011221</v>
      </c>
      <c r="F339" s="28">
        <f>+F337*'VARIABLES DEL PROYECTO'!$B$31</f>
        <v>41805554.532707676</v>
      </c>
      <c r="G339" s="28">
        <f>+G337*'VARIABLES DEL PROYECTO'!$B$31</f>
        <v>42012630.321855113</v>
      </c>
      <c r="H339" s="254">
        <f>+H337*'VARIABLES DEL PROYECTO'!$B$31</f>
        <v>0</v>
      </c>
    </row>
    <row r="340" spans="1:9">
      <c r="B340" s="254"/>
      <c r="C340" s="28"/>
      <c r="D340" s="28"/>
      <c r="E340" s="28"/>
      <c r="F340" s="28"/>
      <c r="G340" s="28"/>
      <c r="H340" s="251"/>
    </row>
    <row r="341" spans="1:9">
      <c r="A341" s="252"/>
      <c r="B341" s="254"/>
      <c r="C341" s="28"/>
      <c r="D341" s="28"/>
      <c r="E341" s="28"/>
      <c r="F341" s="28"/>
      <c r="G341" s="28"/>
      <c r="H341" s="251"/>
    </row>
    <row r="342" spans="1:9" ht="15.75">
      <c r="A342" s="30" t="s">
        <v>141</v>
      </c>
      <c r="B342" s="295"/>
      <c r="C342" s="266">
        <f t="shared" ref="C342:H342" si="18">+C337-C339</f>
        <v>76495485.039999932</v>
      </c>
      <c r="D342" s="266">
        <f t="shared" si="18"/>
        <v>76874909.053930014</v>
      </c>
      <c r="E342" s="266">
        <f t="shared" si="18"/>
        <v>77256040.475922674</v>
      </c>
      <c r="F342" s="266">
        <f t="shared" si="18"/>
        <v>77638886.989314273</v>
      </c>
      <c r="G342" s="266">
        <f t="shared" si="18"/>
        <v>78023456.312016651</v>
      </c>
      <c r="H342" s="295">
        <f t="shared" si="18"/>
        <v>0</v>
      </c>
    </row>
    <row r="343" spans="1:9">
      <c r="B343" s="254"/>
      <c r="C343" s="28"/>
      <c r="D343" s="28"/>
      <c r="E343" s="28"/>
      <c r="F343" s="28"/>
      <c r="G343" s="28"/>
      <c r="H343" s="254"/>
    </row>
    <row r="344" spans="1:9">
      <c r="A344" s="252" t="s">
        <v>142</v>
      </c>
      <c r="B344" s="254"/>
      <c r="C344" s="28">
        <f>+C342*'VARIABLES DEL PROYECTO'!$B$32</f>
        <v>0</v>
      </c>
      <c r="D344" s="28">
        <f>+D342*'VARIABLES DEL PROYECTO'!$B$32</f>
        <v>0</v>
      </c>
      <c r="E344" s="28">
        <f>+E342*'VARIABLES DEL PROYECTO'!$B$32</f>
        <v>0</v>
      </c>
      <c r="F344" s="28">
        <f>+F342*'VARIABLES DEL PROYECTO'!$B$32</f>
        <v>0</v>
      </c>
      <c r="G344" s="28">
        <f>+G342*'VARIABLES DEL PROYECTO'!$B$32</f>
        <v>0</v>
      </c>
      <c r="H344" s="254">
        <f>+H342*'VARIABLES DEL PROYECTO'!$B$32</f>
        <v>0</v>
      </c>
    </row>
    <row r="345" spans="1:9">
      <c r="B345" s="254"/>
      <c r="C345" s="28"/>
      <c r="D345" s="28"/>
      <c r="E345" s="28"/>
      <c r="F345" s="28"/>
      <c r="G345" s="28"/>
      <c r="H345" s="251"/>
    </row>
    <row r="346" spans="1:9">
      <c r="A346" s="252"/>
      <c r="B346" s="254"/>
      <c r="C346" s="28"/>
      <c r="D346" s="28"/>
      <c r="E346" s="28"/>
      <c r="F346" s="28"/>
      <c r="G346" s="28"/>
      <c r="H346" s="251"/>
    </row>
    <row r="347" spans="1:9">
      <c r="C347" s="28"/>
      <c r="D347" s="28"/>
      <c r="E347" s="28"/>
      <c r="F347" s="28"/>
      <c r="G347" s="28"/>
    </row>
    <row r="348" spans="1:9">
      <c r="A348" s="26" t="s">
        <v>143</v>
      </c>
      <c r="B348" s="254"/>
      <c r="C348" s="28">
        <f t="shared" ref="C348:H348" si="19">+C342-C344</f>
        <v>76495485.039999932</v>
      </c>
      <c r="D348" s="28">
        <f t="shared" si="19"/>
        <v>76874909.053930014</v>
      </c>
      <c r="E348" s="28">
        <f t="shared" si="19"/>
        <v>77256040.475922674</v>
      </c>
      <c r="F348" s="28">
        <f t="shared" si="19"/>
        <v>77638886.989314273</v>
      </c>
      <c r="G348" s="28">
        <f t="shared" si="19"/>
        <v>78023456.312016651</v>
      </c>
      <c r="H348" s="254">
        <f t="shared" si="19"/>
        <v>0</v>
      </c>
    </row>
    <row r="349" spans="1:9">
      <c r="A349" s="26" t="s">
        <v>143</v>
      </c>
      <c r="B349" s="254"/>
      <c r="C349" s="28"/>
      <c r="D349" s="28"/>
      <c r="E349" s="28"/>
      <c r="F349" s="28"/>
      <c r="G349" s="28"/>
      <c r="H349" s="254"/>
    </row>
    <row r="350" spans="1:9" ht="16.5" thickBot="1">
      <c r="A350" s="275" t="s">
        <v>144</v>
      </c>
      <c r="B350" s="297"/>
      <c r="C350" s="282">
        <f>+B348+C348</f>
        <v>76495485.039999932</v>
      </c>
      <c r="D350" s="282">
        <f>+C350+D348</f>
        <v>153370394.09392995</v>
      </c>
      <c r="E350" s="282">
        <f>+D350+E348</f>
        <v>230626434.56985262</v>
      </c>
      <c r="F350" s="282">
        <f>+E350+F348</f>
        <v>308265321.55916691</v>
      </c>
      <c r="G350" s="282">
        <f>+F350+G348</f>
        <v>386288777.87118357</v>
      </c>
      <c r="H350" s="297"/>
    </row>
    <row r="351" spans="1:9">
      <c r="A351" s="26" t="s">
        <v>539</v>
      </c>
      <c r="B351" s="254"/>
      <c r="D351" s="254"/>
      <c r="E351" s="254"/>
      <c r="F351" s="254"/>
      <c r="G351" s="254"/>
      <c r="H351" s="254"/>
      <c r="I351" s="254"/>
    </row>
    <row r="354" spans="1:9" ht="15.75">
      <c r="A354" s="249" t="s">
        <v>148</v>
      </c>
      <c r="B354" s="249"/>
      <c r="C354" s="249"/>
      <c r="D354" s="249"/>
      <c r="E354" s="249"/>
      <c r="F354" s="249"/>
      <c r="G354" s="249"/>
      <c r="H354" s="249"/>
    </row>
    <row r="355" spans="1:9" ht="15.75">
      <c r="A355" s="249" t="s">
        <v>149</v>
      </c>
      <c r="B355" s="249"/>
      <c r="C355" s="249"/>
      <c r="D355" s="249"/>
      <c r="E355" s="249"/>
      <c r="F355" s="249"/>
      <c r="G355" s="249"/>
      <c r="H355" s="249"/>
    </row>
    <row r="356" spans="1:9" ht="15.75">
      <c r="A356" s="279" t="s">
        <v>57</v>
      </c>
      <c r="B356" s="279"/>
      <c r="C356" s="279"/>
      <c r="D356" s="279"/>
      <c r="E356" s="279"/>
      <c r="F356" s="279"/>
      <c r="G356" s="279"/>
      <c r="H356" s="279"/>
    </row>
    <row r="357" spans="1:9" ht="16.5" thickBot="1">
      <c r="B357" s="270" t="s">
        <v>262</v>
      </c>
    </row>
    <row r="358" spans="1:9" ht="16.5" thickBot="1">
      <c r="A358" s="30" t="s">
        <v>58</v>
      </c>
      <c r="B358" s="249"/>
      <c r="C358" s="267" t="s">
        <v>125</v>
      </c>
      <c r="D358" s="267" t="s">
        <v>59</v>
      </c>
      <c r="E358" s="267"/>
      <c r="F358" s="267"/>
      <c r="G358" s="267"/>
      <c r="H358" s="267"/>
      <c r="I358" s="249"/>
    </row>
    <row r="359" spans="1:9">
      <c r="C359" s="26" t="s">
        <v>125</v>
      </c>
    </row>
    <row r="360" spans="1:9" ht="15.75">
      <c r="A360" s="286" t="s">
        <v>60</v>
      </c>
      <c r="B360" s="272">
        <f>+B$28</f>
        <v>0</v>
      </c>
      <c r="C360" s="272" t="s">
        <v>125</v>
      </c>
      <c r="D360" s="272">
        <f>+C$28</f>
        <v>1</v>
      </c>
      <c r="E360" s="272">
        <f>+D$28</f>
        <v>2</v>
      </c>
      <c r="F360" s="272">
        <f>+E$28</f>
        <v>3</v>
      </c>
      <c r="G360" s="272">
        <f>+F$28</f>
        <v>4</v>
      </c>
      <c r="H360" s="272">
        <f>+G$28</f>
        <v>5</v>
      </c>
      <c r="I360" s="71"/>
    </row>
    <row r="362" spans="1:9">
      <c r="A362" s="26" t="s">
        <v>263</v>
      </c>
      <c r="C362" s="250"/>
      <c r="D362" s="250">
        <f>+C$30</f>
        <v>1</v>
      </c>
      <c r="E362" s="250">
        <f>+D$30</f>
        <v>1</v>
      </c>
      <c r="F362" s="250">
        <f>+E$30</f>
        <v>1</v>
      </c>
      <c r="G362" s="250">
        <f>+F$30</f>
        <v>1</v>
      </c>
      <c r="H362" s="250">
        <f>+G$30</f>
        <v>1</v>
      </c>
      <c r="I362" s="250"/>
    </row>
    <row r="364" spans="1:9">
      <c r="A364" s="27" t="s">
        <v>150</v>
      </c>
      <c r="C364" s="28"/>
      <c r="D364" s="28"/>
      <c r="E364" s="251"/>
      <c r="F364" s="251"/>
      <c r="G364" s="251"/>
      <c r="H364" s="251"/>
      <c r="I364" s="251"/>
    </row>
    <row r="365" spans="1:9">
      <c r="A365" s="27" t="s">
        <v>283</v>
      </c>
      <c r="B365" s="28">
        <f>+B266</f>
        <v>120322500</v>
      </c>
      <c r="C365" s="28">
        <f t="shared" ref="C365:H365" si="20">+D266</f>
        <v>0</v>
      </c>
      <c r="D365" s="28">
        <f t="shared" si="20"/>
        <v>0</v>
      </c>
      <c r="E365" s="28">
        <f t="shared" si="20"/>
        <v>0</v>
      </c>
      <c r="F365" s="28">
        <f t="shared" si="20"/>
        <v>0</v>
      </c>
      <c r="G365" s="28">
        <f t="shared" si="20"/>
        <v>0</v>
      </c>
      <c r="H365" s="254">
        <f t="shared" si="20"/>
        <v>0</v>
      </c>
    </row>
    <row r="366" spans="1:9">
      <c r="A366" s="27" t="s">
        <v>151</v>
      </c>
      <c r="B366" s="28">
        <f>+B268</f>
        <v>0</v>
      </c>
      <c r="C366" s="28">
        <f t="shared" ref="C366:H366" si="21">+D268</f>
        <v>0</v>
      </c>
      <c r="D366" s="28">
        <f t="shared" si="21"/>
        <v>0</v>
      </c>
      <c r="E366" s="28">
        <f t="shared" si="21"/>
        <v>0</v>
      </c>
      <c r="F366" s="28">
        <f t="shared" si="21"/>
        <v>0</v>
      </c>
      <c r="G366" s="28">
        <f t="shared" si="21"/>
        <v>0</v>
      </c>
      <c r="H366" s="254">
        <f t="shared" si="21"/>
        <v>0</v>
      </c>
    </row>
    <row r="367" spans="1:9">
      <c r="A367" s="252"/>
      <c r="B367" s="28"/>
      <c r="C367" s="28"/>
      <c r="D367" s="28"/>
      <c r="E367" s="28"/>
      <c r="F367" s="28"/>
      <c r="G367" s="28"/>
      <c r="H367" s="251"/>
    </row>
    <row r="368" spans="1:9">
      <c r="A368" s="27" t="s">
        <v>152</v>
      </c>
      <c r="B368" s="28"/>
      <c r="C368" s="28"/>
      <c r="D368" s="28"/>
      <c r="E368" s="28"/>
      <c r="F368" s="28"/>
      <c r="G368" s="28"/>
      <c r="H368" s="251"/>
    </row>
    <row r="369" spans="1:9">
      <c r="A369" s="27" t="s">
        <v>153</v>
      </c>
      <c r="B369" s="28">
        <f t="shared" ref="B369:G369" si="22">+C222</f>
        <v>0</v>
      </c>
      <c r="C369" s="28">
        <f t="shared" si="22"/>
        <v>193896853.33333331</v>
      </c>
      <c r="D369" s="28">
        <f t="shared" si="22"/>
        <v>194769389.17333332</v>
      </c>
      <c r="E369" s="28">
        <f t="shared" si="22"/>
        <v>195645851.4246133</v>
      </c>
      <c r="F369" s="28">
        <f t="shared" si="22"/>
        <v>196526257.75602406</v>
      </c>
      <c r="G369" s="28">
        <f t="shared" si="22"/>
        <v>197410625.91592613</v>
      </c>
      <c r="H369" s="251">
        <f>+I222</f>
        <v>0</v>
      </c>
    </row>
    <row r="370" spans="1:9">
      <c r="A370" s="254"/>
      <c r="B370" s="28"/>
      <c r="C370" s="28"/>
      <c r="D370" s="28"/>
      <c r="E370" s="28"/>
      <c r="F370" s="28"/>
      <c r="G370" s="28"/>
      <c r="H370" s="251"/>
    </row>
    <row r="371" spans="1:9">
      <c r="B371" s="28"/>
      <c r="C371" s="28"/>
      <c r="D371" s="28"/>
      <c r="E371" s="28"/>
      <c r="F371" s="28"/>
      <c r="G371" s="28"/>
    </row>
    <row r="372" spans="1:9" ht="16.5" thickBot="1">
      <c r="A372" s="275" t="s">
        <v>154</v>
      </c>
      <c r="B372" s="282">
        <f>+B365+B366+B369</f>
        <v>120322500</v>
      </c>
      <c r="C372" s="282">
        <f t="shared" ref="C372:H372" si="23">+C365+C366+C369</f>
        <v>193896853.33333331</v>
      </c>
      <c r="D372" s="282">
        <f t="shared" si="23"/>
        <v>194769389.17333332</v>
      </c>
      <c r="E372" s="282">
        <f t="shared" si="23"/>
        <v>195645851.4246133</v>
      </c>
      <c r="F372" s="282">
        <f t="shared" si="23"/>
        <v>196526257.75602406</v>
      </c>
      <c r="G372" s="282">
        <f t="shared" si="23"/>
        <v>197410625.91592613</v>
      </c>
      <c r="H372" s="297">
        <f t="shared" si="23"/>
        <v>0</v>
      </c>
    </row>
    <row r="373" spans="1:9">
      <c r="A373" s="26" t="s">
        <v>539</v>
      </c>
      <c r="B373" s="28"/>
      <c r="C373" s="28"/>
      <c r="D373" s="28"/>
      <c r="E373" s="28"/>
      <c r="F373" s="28"/>
      <c r="G373" s="28"/>
    </row>
    <row r="374" spans="1:9">
      <c r="B374" s="28"/>
      <c r="C374" s="28"/>
      <c r="D374" s="28"/>
      <c r="E374" s="28"/>
      <c r="F374" s="28"/>
      <c r="G374" s="28"/>
    </row>
    <row r="375" spans="1:9">
      <c r="B375" s="28"/>
      <c r="C375" s="28"/>
      <c r="D375" s="28"/>
      <c r="E375" s="28"/>
      <c r="F375" s="28"/>
      <c r="G375" s="28"/>
    </row>
    <row r="376" spans="1:9" ht="15.75">
      <c r="A376" s="249" t="s">
        <v>155</v>
      </c>
      <c r="B376" s="249"/>
      <c r="C376" s="249"/>
      <c r="D376" s="249"/>
      <c r="E376" s="249"/>
      <c r="F376" s="249"/>
      <c r="G376" s="249"/>
      <c r="H376" s="249"/>
    </row>
    <row r="377" spans="1:9" ht="15.75">
      <c r="A377" s="249" t="s">
        <v>156</v>
      </c>
      <c r="B377" s="249"/>
      <c r="C377" s="249"/>
      <c r="D377" s="249"/>
      <c r="E377" s="249"/>
      <c r="F377" s="249"/>
      <c r="G377" s="249"/>
      <c r="H377" s="249"/>
    </row>
    <row r="378" spans="1:9" ht="15.75">
      <c r="A378" s="279" t="s">
        <v>57</v>
      </c>
      <c r="B378" s="279"/>
      <c r="C378" s="279"/>
      <c r="D378" s="279"/>
      <c r="E378" s="279"/>
      <c r="F378" s="279"/>
      <c r="G378" s="249"/>
      <c r="H378" s="249"/>
    </row>
    <row r="379" spans="1:9" ht="16.5" thickBot="1">
      <c r="B379" s="270" t="s">
        <v>262</v>
      </c>
    </row>
    <row r="380" spans="1:9" ht="16.5" thickBot="1">
      <c r="A380" s="30" t="s">
        <v>58</v>
      </c>
      <c r="B380" s="249"/>
      <c r="C380" s="289" t="s">
        <v>125</v>
      </c>
      <c r="D380" s="289" t="s">
        <v>59</v>
      </c>
      <c r="E380" s="289"/>
      <c r="F380" s="289"/>
      <c r="G380" s="249"/>
      <c r="H380" s="249"/>
      <c r="I380" s="249"/>
    </row>
    <row r="381" spans="1:9" ht="15.75">
      <c r="B381" s="71"/>
      <c r="C381" s="71" t="s">
        <v>125</v>
      </c>
      <c r="D381" s="71"/>
      <c r="E381" s="71"/>
      <c r="F381" s="71"/>
      <c r="G381" s="71"/>
      <c r="H381" s="71"/>
      <c r="I381" s="71"/>
    </row>
    <row r="382" spans="1:9" ht="15.75">
      <c r="A382" s="286" t="s">
        <v>60</v>
      </c>
      <c r="B382" s="272">
        <f>+B$28</f>
        <v>0</v>
      </c>
      <c r="C382" s="272">
        <v>2</v>
      </c>
      <c r="D382" s="272">
        <v>3</v>
      </c>
      <c r="E382" s="272">
        <v>4</v>
      </c>
      <c r="F382" s="272">
        <v>5</v>
      </c>
      <c r="G382" s="71"/>
      <c r="H382" s="71"/>
      <c r="I382" s="71"/>
    </row>
    <row r="384" spans="1:9">
      <c r="A384" s="26" t="s">
        <v>263</v>
      </c>
      <c r="C384" s="250"/>
      <c r="D384" s="250">
        <f>+C$30</f>
        <v>1</v>
      </c>
      <c r="E384" s="250">
        <f>+D$30</f>
        <v>1</v>
      </c>
      <c r="F384" s="250">
        <f>+E$30</f>
        <v>1</v>
      </c>
      <c r="G384" s="250"/>
      <c r="H384" s="250"/>
      <c r="I384" s="250"/>
    </row>
    <row r="386" spans="1:9">
      <c r="A386" s="27" t="s">
        <v>157</v>
      </c>
      <c r="C386" s="28"/>
      <c r="D386" s="28"/>
      <c r="E386" s="251"/>
      <c r="F386" s="251"/>
      <c r="G386" s="251"/>
      <c r="H386" s="251"/>
      <c r="I386" s="251"/>
    </row>
    <row r="387" spans="1:9">
      <c r="A387" s="27" t="s">
        <v>158</v>
      </c>
      <c r="B387" s="28">
        <f>+B372-SUM(B389:B393)</f>
        <v>120322500</v>
      </c>
      <c r="C387" s="28">
        <f>D242</f>
        <v>193896853.33333331</v>
      </c>
      <c r="D387" s="28">
        <f>E242</f>
        <v>872535.84000000358</v>
      </c>
      <c r="E387" s="28">
        <f>F242</f>
        <v>876462.25127997994</v>
      </c>
      <c r="F387" s="28">
        <f>G242</f>
        <v>880406.33141076565</v>
      </c>
      <c r="G387" s="28"/>
      <c r="H387" s="254"/>
    </row>
    <row r="388" spans="1:9">
      <c r="A388" s="27" t="s">
        <v>284</v>
      </c>
      <c r="B388" s="28"/>
      <c r="C388" s="28"/>
      <c r="D388" s="28"/>
      <c r="E388" s="28"/>
      <c r="F388" s="28"/>
      <c r="G388" s="28"/>
      <c r="H388" s="254"/>
    </row>
    <row r="389" spans="1:9">
      <c r="A389" s="27" t="s">
        <v>159</v>
      </c>
      <c r="B389" s="28">
        <f>+'VARIABLES DEL PROYECTO'!$C$33</f>
        <v>0</v>
      </c>
      <c r="C389" s="28"/>
      <c r="D389" s="28"/>
      <c r="E389" s="28"/>
      <c r="F389" s="28"/>
      <c r="G389" s="28"/>
      <c r="H389" s="251"/>
    </row>
    <row r="390" spans="1:9">
      <c r="A390" s="27" t="s">
        <v>28</v>
      </c>
      <c r="C390" s="28"/>
      <c r="D390" s="28"/>
      <c r="E390" s="28"/>
      <c r="F390" s="28"/>
      <c r="G390" s="28"/>
      <c r="H390" s="251"/>
    </row>
    <row r="391" spans="1:9">
      <c r="A391" s="27" t="s">
        <v>160</v>
      </c>
      <c r="B391" s="28"/>
      <c r="C391" s="28">
        <f>+D237</f>
        <v>0</v>
      </c>
      <c r="D391" s="28">
        <f>+E237</f>
        <v>0</v>
      </c>
      <c r="E391" s="28">
        <f>+F237</f>
        <v>0</v>
      </c>
      <c r="F391" s="28">
        <f>+G237</f>
        <v>0</v>
      </c>
      <c r="G391" s="28"/>
      <c r="H391" s="251"/>
    </row>
    <row r="392" spans="1:9">
      <c r="A392" s="27" t="s">
        <v>161</v>
      </c>
      <c r="B392" s="28"/>
      <c r="C392" s="28"/>
      <c r="D392" s="28"/>
      <c r="E392" s="28"/>
      <c r="F392" s="28"/>
      <c r="G392" s="28"/>
      <c r="H392" s="251"/>
    </row>
    <row r="393" spans="1:9">
      <c r="A393" s="254" t="s">
        <v>162</v>
      </c>
      <c r="B393" s="28"/>
      <c r="C393" s="28"/>
      <c r="D393" s="28"/>
      <c r="E393" s="28"/>
      <c r="F393" s="28"/>
      <c r="G393" s="28"/>
      <c r="H393" s="251"/>
    </row>
    <row r="394" spans="1:9">
      <c r="B394" s="28"/>
      <c r="C394" s="28"/>
      <c r="D394" s="28"/>
      <c r="E394" s="28"/>
      <c r="F394" s="28"/>
      <c r="G394" s="28"/>
    </row>
    <row r="395" spans="1:9" ht="16.5" thickBot="1">
      <c r="A395" s="298" t="s">
        <v>163</v>
      </c>
      <c r="B395" s="282">
        <f>+B387+SUM(B389:B393)</f>
        <v>120322500</v>
      </c>
      <c r="C395" s="282">
        <f>+C387+SUM(C389:C393)</f>
        <v>193896853.33333331</v>
      </c>
      <c r="D395" s="282">
        <f>+D387+SUM(D389:D393)</f>
        <v>872535.84000000358</v>
      </c>
      <c r="E395" s="282">
        <f>+E387+SUM(E389:E393)</f>
        <v>876462.25127997994</v>
      </c>
      <c r="F395" s="282">
        <f>+F387+SUM(F389:F393)</f>
        <v>880406.33141076565</v>
      </c>
      <c r="G395" s="28"/>
      <c r="H395" s="254"/>
    </row>
    <row r="396" spans="1:9">
      <c r="A396" s="26" t="s">
        <v>539</v>
      </c>
    </row>
    <row r="400" spans="1:9" ht="15.75">
      <c r="A400" s="249" t="s">
        <v>167</v>
      </c>
      <c r="B400" s="249"/>
      <c r="C400" s="249"/>
      <c r="D400" s="249"/>
      <c r="E400" s="249"/>
      <c r="F400" s="249"/>
      <c r="G400" s="249"/>
      <c r="H400" s="249"/>
    </row>
    <row r="401" spans="1:9" ht="15.75">
      <c r="A401" s="249" t="s">
        <v>164</v>
      </c>
      <c r="B401" s="249"/>
      <c r="C401" s="249"/>
      <c r="D401" s="249"/>
      <c r="E401" s="249"/>
      <c r="F401" s="249"/>
      <c r="G401" s="249"/>
      <c r="H401" s="249"/>
    </row>
    <row r="402" spans="1:9" ht="15.75">
      <c r="A402" s="279" t="s">
        <v>57</v>
      </c>
      <c r="B402" s="279"/>
      <c r="C402" s="279"/>
      <c r="D402" s="279"/>
      <c r="E402" s="279"/>
      <c r="F402" s="279"/>
      <c r="G402" s="279"/>
      <c r="H402" s="279"/>
    </row>
    <row r="403" spans="1:9" ht="16.5" thickBot="1">
      <c r="B403" s="270" t="s">
        <v>262</v>
      </c>
      <c r="H403" s="71" t="s">
        <v>168</v>
      </c>
    </row>
    <row r="404" spans="1:9" ht="16.5" thickBot="1">
      <c r="A404" s="30" t="s">
        <v>58</v>
      </c>
      <c r="B404" s="249"/>
      <c r="C404" s="267" t="s">
        <v>59</v>
      </c>
      <c r="D404" s="267"/>
      <c r="E404" s="267"/>
      <c r="F404" s="267"/>
      <c r="G404" s="267"/>
      <c r="H404" s="71" t="s">
        <v>169</v>
      </c>
      <c r="I404" s="249"/>
    </row>
    <row r="405" spans="1:9" ht="15.75">
      <c r="H405" s="71" t="s">
        <v>170</v>
      </c>
    </row>
    <row r="406" spans="1:9" ht="15.75">
      <c r="A406" s="286" t="s">
        <v>60</v>
      </c>
      <c r="B406" s="272">
        <f t="shared" ref="B406:G406" si="24">+B$28</f>
        <v>0</v>
      </c>
      <c r="C406" s="272">
        <f t="shared" si="24"/>
        <v>1</v>
      </c>
      <c r="D406" s="272">
        <f t="shared" si="24"/>
        <v>2</v>
      </c>
      <c r="E406" s="272">
        <f t="shared" si="24"/>
        <v>3</v>
      </c>
      <c r="F406" s="272">
        <f t="shared" si="24"/>
        <v>4</v>
      </c>
      <c r="G406" s="272">
        <f t="shared" si="24"/>
        <v>5</v>
      </c>
      <c r="H406" s="280" t="s">
        <v>60</v>
      </c>
    </row>
    <row r="408" spans="1:9">
      <c r="A408" s="26" t="s">
        <v>263</v>
      </c>
      <c r="C408" s="250">
        <f>+C$30</f>
        <v>1</v>
      </c>
      <c r="D408" s="250">
        <f>+D$30</f>
        <v>1</v>
      </c>
      <c r="E408" s="250">
        <f>+E$30</f>
        <v>1</v>
      </c>
      <c r="F408" s="250">
        <f>+F$30</f>
        <v>1</v>
      </c>
      <c r="G408" s="250">
        <f>+G$30</f>
        <v>1</v>
      </c>
    </row>
    <row r="410" spans="1:9">
      <c r="A410" s="27" t="s">
        <v>165</v>
      </c>
      <c r="C410" s="28"/>
      <c r="D410" s="251"/>
      <c r="E410" s="251"/>
      <c r="F410" s="251"/>
      <c r="G410" s="251"/>
      <c r="H410" s="251"/>
    </row>
    <row r="411" spans="1:9">
      <c r="A411" s="27" t="s">
        <v>166</v>
      </c>
      <c r="B411" s="28">
        <f>+$B$395</f>
        <v>120322500</v>
      </c>
      <c r="C411" s="28">
        <f>+$C$395</f>
        <v>193896853.33333331</v>
      </c>
      <c r="D411" s="28">
        <f>+$D$395</f>
        <v>872535.84000000358</v>
      </c>
      <c r="E411" s="28">
        <f>+$E$395</f>
        <v>876462.25127997994</v>
      </c>
      <c r="F411" s="28">
        <f>+$F$395</f>
        <v>880406.33141076565</v>
      </c>
      <c r="G411" s="28">
        <f>+$G$395</f>
        <v>0</v>
      </c>
      <c r="H411" s="28"/>
    </row>
    <row r="412" spans="1:9">
      <c r="A412" s="252" t="s">
        <v>171</v>
      </c>
      <c r="B412" s="28"/>
      <c r="C412" s="28"/>
      <c r="D412" s="28"/>
      <c r="E412" s="28"/>
      <c r="F412" s="28"/>
      <c r="G412" s="28"/>
      <c r="H412" s="28"/>
    </row>
    <row r="413" spans="1:9">
      <c r="A413" s="27" t="s">
        <v>172</v>
      </c>
      <c r="B413" s="28">
        <f>+$B$323</f>
        <v>0</v>
      </c>
      <c r="C413" s="28">
        <f>+$C$323</f>
        <v>2456479851.5999999</v>
      </c>
      <c r="D413" s="28">
        <f>+$D$323</f>
        <v>2467534010.9322</v>
      </c>
      <c r="E413" s="28">
        <f>+$E$323</f>
        <v>2478637913.9813948</v>
      </c>
      <c r="F413" s="28">
        <f>+$F$323</f>
        <v>2489791784.5943108</v>
      </c>
      <c r="G413" s="28">
        <f>+$G$323</f>
        <v>2500995847.6249852</v>
      </c>
      <c r="H413" s="28">
        <f ca="1">+$H$37+$B$258+$H$240</f>
        <v>257571875.91592613</v>
      </c>
    </row>
    <row r="414" spans="1:9">
      <c r="A414" s="252" t="s">
        <v>173</v>
      </c>
      <c r="B414" s="28"/>
      <c r="C414" s="28"/>
      <c r="D414" s="28"/>
      <c r="E414" s="28"/>
      <c r="F414" s="28"/>
      <c r="G414" s="28"/>
      <c r="H414" s="28"/>
    </row>
    <row r="415" spans="1:9">
      <c r="A415" s="27" t="s">
        <v>174</v>
      </c>
      <c r="B415" s="28"/>
      <c r="C415" s="28"/>
      <c r="D415" s="28"/>
      <c r="E415" s="28"/>
      <c r="F415" s="28"/>
      <c r="G415" s="28"/>
      <c r="H415" s="28"/>
    </row>
    <row r="416" spans="1:9">
      <c r="A416" s="254"/>
      <c r="B416" s="28"/>
      <c r="C416" s="28"/>
      <c r="D416" s="28"/>
      <c r="E416" s="28"/>
      <c r="F416" s="28"/>
      <c r="G416" s="28"/>
      <c r="H416" s="28"/>
    </row>
    <row r="417" spans="1:8">
      <c r="B417" s="28"/>
      <c r="C417" s="28"/>
      <c r="D417" s="28"/>
      <c r="E417" s="28"/>
      <c r="F417" s="28"/>
      <c r="G417" s="28"/>
      <c r="H417" s="28"/>
    </row>
    <row r="418" spans="1:8" ht="15.75">
      <c r="A418" s="290" t="s">
        <v>183</v>
      </c>
      <c r="B418" s="266">
        <f t="shared" ref="B418:H418" si="25">SUM(B411:B415)</f>
        <v>120322500</v>
      </c>
      <c r="C418" s="266">
        <f t="shared" si="25"/>
        <v>2650376704.9333334</v>
      </c>
      <c r="D418" s="266">
        <f t="shared" si="25"/>
        <v>2468406546.7722001</v>
      </c>
      <c r="E418" s="266">
        <f t="shared" si="25"/>
        <v>2479514376.2326746</v>
      </c>
      <c r="F418" s="266">
        <f t="shared" si="25"/>
        <v>2490672190.9257216</v>
      </c>
      <c r="G418" s="266">
        <f t="shared" si="25"/>
        <v>2500995847.6249852</v>
      </c>
      <c r="H418" s="266">
        <f t="shared" ca="1" si="25"/>
        <v>257571875.91592613</v>
      </c>
    </row>
    <row r="419" spans="1:8">
      <c r="B419" s="28"/>
      <c r="C419" s="28"/>
      <c r="D419" s="28"/>
      <c r="E419" s="28"/>
      <c r="F419" s="28"/>
      <c r="G419" s="28"/>
      <c r="H419" s="28"/>
    </row>
    <row r="420" spans="1:8">
      <c r="B420" s="28"/>
      <c r="C420" s="28"/>
      <c r="D420" s="28"/>
      <c r="E420" s="28"/>
      <c r="F420" s="28"/>
      <c r="G420" s="28"/>
      <c r="H420" s="28"/>
    </row>
    <row r="421" spans="1:8">
      <c r="A421" s="27" t="s">
        <v>175</v>
      </c>
      <c r="B421" s="28"/>
      <c r="C421" s="28"/>
      <c r="D421" s="28"/>
      <c r="E421" s="28"/>
      <c r="F421" s="28"/>
      <c r="G421" s="28"/>
      <c r="H421" s="28"/>
    </row>
    <row r="422" spans="1:8">
      <c r="A422" s="27" t="s">
        <v>176</v>
      </c>
      <c r="B422" s="28">
        <f t="shared" ref="B422:G422" si="26">B395</f>
        <v>120322500</v>
      </c>
      <c r="C422" s="28">
        <f t="shared" si="26"/>
        <v>193896853.33333331</v>
      </c>
      <c r="D422" s="28">
        <f t="shared" si="26"/>
        <v>872535.84000000358</v>
      </c>
      <c r="E422" s="28">
        <f t="shared" si="26"/>
        <v>876462.25127997994</v>
      </c>
      <c r="F422" s="28">
        <f t="shared" si="26"/>
        <v>880406.33141076565</v>
      </c>
      <c r="G422" s="28">
        <f t="shared" si="26"/>
        <v>0</v>
      </c>
      <c r="H422" s="28"/>
    </row>
    <row r="423" spans="1:8">
      <c r="A423" s="252" t="s">
        <v>177</v>
      </c>
      <c r="B423" s="28"/>
      <c r="C423" s="28"/>
      <c r="D423" s="28"/>
      <c r="E423" s="28"/>
      <c r="F423" s="28"/>
      <c r="G423" s="28"/>
      <c r="H423" s="28"/>
    </row>
    <row r="424" spans="1:8">
      <c r="A424" s="27" t="s">
        <v>178</v>
      </c>
      <c r="B424" s="28">
        <f t="shared" ref="B424:G424" si="27">+B163-B157-B145</f>
        <v>0</v>
      </c>
      <c r="C424" s="28">
        <f t="shared" si="27"/>
        <v>2326762240</v>
      </c>
      <c r="D424" s="28">
        <f t="shared" si="27"/>
        <v>2337232670.0799999</v>
      </c>
      <c r="E424" s="28">
        <f t="shared" si="27"/>
        <v>2347750217.0953598</v>
      </c>
      <c r="F424" s="28">
        <f t="shared" si="27"/>
        <v>2358315093.072289</v>
      </c>
      <c r="G424" s="28">
        <f t="shared" si="27"/>
        <v>2368927510.9911137</v>
      </c>
      <c r="H424" s="28"/>
    </row>
    <row r="425" spans="1:8">
      <c r="A425" s="27" t="s">
        <v>286</v>
      </c>
      <c r="B425" s="28"/>
      <c r="C425" s="28"/>
      <c r="D425" s="28"/>
      <c r="E425" s="28"/>
      <c r="F425" s="28"/>
      <c r="G425" s="28"/>
      <c r="H425" s="28"/>
    </row>
    <row r="426" spans="1:8">
      <c r="A426" s="252" t="s">
        <v>285</v>
      </c>
      <c r="B426" s="28"/>
      <c r="C426" s="28"/>
      <c r="D426" s="28"/>
      <c r="E426" s="28"/>
      <c r="F426" s="28"/>
      <c r="G426" s="28"/>
      <c r="H426" s="28"/>
    </row>
    <row r="427" spans="1:8">
      <c r="A427" s="27" t="s">
        <v>287</v>
      </c>
      <c r="B427" s="28">
        <f t="shared" ref="B427:G427" si="28">+B165</f>
        <v>0</v>
      </c>
      <c r="C427" s="28">
        <f t="shared" si="28"/>
        <v>0</v>
      </c>
      <c r="D427" s="28">
        <f t="shared" si="28"/>
        <v>0</v>
      </c>
      <c r="E427" s="28">
        <f t="shared" si="28"/>
        <v>0</v>
      </c>
      <c r="F427" s="28">
        <f t="shared" si="28"/>
        <v>0</v>
      </c>
      <c r="G427" s="28">
        <f t="shared" si="28"/>
        <v>0</v>
      </c>
      <c r="H427" s="28"/>
    </row>
    <row r="428" spans="1:8">
      <c r="A428" s="27" t="s">
        <v>179</v>
      </c>
      <c r="B428" s="28"/>
      <c r="C428" s="28"/>
      <c r="D428" s="28"/>
      <c r="E428" s="28"/>
      <c r="F428" s="28"/>
      <c r="G428" s="28"/>
      <c r="H428" s="28"/>
    </row>
    <row r="429" spans="1:8">
      <c r="A429" s="27" t="s">
        <v>180</v>
      </c>
      <c r="B429" s="28">
        <f t="shared" ref="B429:G429" si="29">+B67</f>
        <v>0</v>
      </c>
      <c r="C429" s="28">
        <f t="shared" si="29"/>
        <v>0</v>
      </c>
      <c r="D429" s="28">
        <f t="shared" si="29"/>
        <v>0</v>
      </c>
      <c r="E429" s="28">
        <f t="shared" si="29"/>
        <v>0</v>
      </c>
      <c r="F429" s="28">
        <f t="shared" si="29"/>
        <v>0</v>
      </c>
      <c r="G429" s="28">
        <f t="shared" si="29"/>
        <v>0</v>
      </c>
      <c r="H429" s="28"/>
    </row>
    <row r="430" spans="1:8">
      <c r="A430" s="27" t="s">
        <v>181</v>
      </c>
      <c r="B430" s="28">
        <f t="shared" ref="B430:G430" si="30">+B339</f>
        <v>0</v>
      </c>
      <c r="C430" s="28">
        <f t="shared" si="30"/>
        <v>41189876.559999965</v>
      </c>
      <c r="D430" s="28">
        <f t="shared" si="30"/>
        <v>41394181.798270009</v>
      </c>
      <c r="E430" s="28">
        <f t="shared" si="30"/>
        <v>41599406.41011221</v>
      </c>
      <c r="F430" s="28">
        <f t="shared" si="30"/>
        <v>41805554.532707676</v>
      </c>
      <c r="G430" s="28">
        <f t="shared" si="30"/>
        <v>42012630.321855113</v>
      </c>
      <c r="H430" s="28"/>
    </row>
    <row r="431" spans="1:8">
      <c r="A431" s="27" t="s">
        <v>182</v>
      </c>
      <c r="B431" s="28">
        <f t="shared" ref="B431:G431" si="31">+B344</f>
        <v>0</v>
      </c>
      <c r="C431" s="28">
        <f t="shared" si="31"/>
        <v>0</v>
      </c>
      <c r="D431" s="28">
        <f t="shared" si="31"/>
        <v>0</v>
      </c>
      <c r="E431" s="28">
        <f t="shared" si="31"/>
        <v>0</v>
      </c>
      <c r="F431" s="28">
        <f t="shared" si="31"/>
        <v>0</v>
      </c>
      <c r="G431" s="28">
        <f t="shared" si="31"/>
        <v>0</v>
      </c>
      <c r="H431" s="28"/>
    </row>
    <row r="432" spans="1:8">
      <c r="A432" s="254"/>
      <c r="B432" s="28"/>
      <c r="C432" s="28"/>
      <c r="D432" s="28"/>
      <c r="E432" s="28"/>
      <c r="F432" s="28"/>
      <c r="G432" s="28"/>
      <c r="H432" s="28"/>
    </row>
    <row r="433" spans="1:9">
      <c r="A433" s="27"/>
      <c r="B433" s="28"/>
      <c r="C433" s="28"/>
      <c r="D433" s="28"/>
      <c r="E433" s="28"/>
      <c r="F433" s="28"/>
      <c r="G433" s="28"/>
      <c r="H433" s="28"/>
    </row>
    <row r="434" spans="1:9" ht="15.75">
      <c r="A434" s="299" t="s">
        <v>184</v>
      </c>
      <c r="B434" s="266">
        <f t="shared" ref="B434:H434" si="32">SUM(B422:B432)</f>
        <v>120322500</v>
      </c>
      <c r="C434" s="266">
        <f t="shared" si="32"/>
        <v>2561848969.8933334</v>
      </c>
      <c r="D434" s="266">
        <f t="shared" si="32"/>
        <v>2379499387.7182703</v>
      </c>
      <c r="E434" s="266">
        <f t="shared" si="32"/>
        <v>2390226085.756752</v>
      </c>
      <c r="F434" s="266">
        <f t="shared" si="32"/>
        <v>2401001053.9364076</v>
      </c>
      <c r="G434" s="266">
        <f t="shared" si="32"/>
        <v>2410940141.3129687</v>
      </c>
      <c r="H434" s="266">
        <f t="shared" si="32"/>
        <v>0</v>
      </c>
      <c r="I434" s="30"/>
    </row>
    <row r="435" spans="1:9">
      <c r="A435" s="27"/>
      <c r="B435" s="28"/>
      <c r="C435" s="28"/>
      <c r="D435" s="28"/>
      <c r="E435" s="28"/>
      <c r="F435" s="28"/>
      <c r="G435" s="28"/>
      <c r="H435" s="28"/>
    </row>
    <row r="436" spans="1:9">
      <c r="A436" s="252" t="s">
        <v>185</v>
      </c>
      <c r="B436" s="28">
        <f t="shared" ref="B436:H436" si="33">+B418-B434</f>
        <v>0</v>
      </c>
      <c r="C436" s="28">
        <f t="shared" si="33"/>
        <v>88527735.039999962</v>
      </c>
      <c r="D436" s="28">
        <f t="shared" si="33"/>
        <v>88907159.053929806</v>
      </c>
      <c r="E436" s="28">
        <f t="shared" si="33"/>
        <v>89288290.475922585</v>
      </c>
      <c r="F436" s="28">
        <f t="shared" si="33"/>
        <v>89671136.989314079</v>
      </c>
      <c r="G436" s="28">
        <f t="shared" si="33"/>
        <v>90055706.312016487</v>
      </c>
      <c r="H436" s="28">
        <f t="shared" ca="1" si="33"/>
        <v>257571875.91592613</v>
      </c>
    </row>
    <row r="437" spans="1:9">
      <c r="A437" s="254"/>
      <c r="B437" s="28"/>
      <c r="C437" s="28"/>
      <c r="D437" s="28"/>
      <c r="E437" s="28"/>
      <c r="F437" s="28"/>
      <c r="G437" s="28"/>
      <c r="H437" s="28"/>
    </row>
    <row r="438" spans="1:9">
      <c r="B438" s="28"/>
      <c r="C438" s="28"/>
      <c r="D438" s="28"/>
      <c r="E438" s="28"/>
      <c r="F438" s="28"/>
      <c r="G438" s="28"/>
      <c r="H438" s="28"/>
    </row>
    <row r="439" spans="1:9" ht="16.5" thickBot="1">
      <c r="A439" s="300" t="s">
        <v>186</v>
      </c>
      <c r="B439" s="282">
        <f>+B436</f>
        <v>0</v>
      </c>
      <c r="C439" s="282">
        <f>+B439+C436</f>
        <v>88527735.039999962</v>
      </c>
      <c r="D439" s="282">
        <f>+C439+D436</f>
        <v>177434894.09392977</v>
      </c>
      <c r="E439" s="282">
        <f>+D439+E436</f>
        <v>266723184.56985235</v>
      </c>
      <c r="F439" s="282">
        <f>+E439+F436</f>
        <v>356394321.55916643</v>
      </c>
      <c r="G439" s="282">
        <f>+F439+G436</f>
        <v>446450027.87118292</v>
      </c>
      <c r="H439" s="282">
        <f ca="1">+#REF!+H436</f>
        <v>257571875.91592613</v>
      </c>
    </row>
    <row r="440" spans="1:9">
      <c r="A440" s="26" t="s">
        <v>539</v>
      </c>
    </row>
    <row r="444" spans="1:9" ht="15.75">
      <c r="A444" s="249" t="s">
        <v>193</v>
      </c>
      <c r="B444" s="249"/>
      <c r="C444" s="249"/>
      <c r="D444" s="249"/>
      <c r="E444" s="249"/>
      <c r="F444" s="249"/>
      <c r="G444" s="249"/>
      <c r="H444" s="249"/>
    </row>
    <row r="445" spans="1:9" ht="15.75">
      <c r="A445" s="249" t="s">
        <v>164</v>
      </c>
      <c r="B445" s="249"/>
      <c r="C445" s="249"/>
      <c r="D445" s="249"/>
      <c r="E445" s="249"/>
      <c r="F445" s="249"/>
      <c r="G445" s="249"/>
      <c r="H445" s="249"/>
    </row>
    <row r="446" spans="1:9" ht="15.75">
      <c r="A446" s="279" t="s">
        <v>57</v>
      </c>
      <c r="B446" s="279"/>
      <c r="C446" s="279"/>
      <c r="D446" s="279"/>
      <c r="E446" s="279"/>
      <c r="F446" s="279"/>
      <c r="G446" s="279"/>
      <c r="H446" s="279"/>
    </row>
    <row r="447" spans="1:9" ht="16.5" thickBot="1">
      <c r="B447" s="270" t="s">
        <v>262</v>
      </c>
      <c r="H447" s="71" t="s">
        <v>168</v>
      </c>
    </row>
    <row r="448" spans="1:9" ht="16.5" thickBot="1">
      <c r="A448" s="30" t="s">
        <v>58</v>
      </c>
      <c r="B448" s="249"/>
      <c r="C448" s="267" t="s">
        <v>59</v>
      </c>
      <c r="D448" s="267"/>
      <c r="E448" s="267"/>
      <c r="F448" s="267"/>
      <c r="G448" s="267"/>
      <c r="H448" s="71" t="s">
        <v>169</v>
      </c>
      <c r="I448" s="249"/>
    </row>
    <row r="449" spans="1:8" ht="15.75">
      <c r="H449" s="71" t="s">
        <v>170</v>
      </c>
    </row>
    <row r="450" spans="1:8" ht="15.75">
      <c r="A450" s="286" t="s">
        <v>60</v>
      </c>
      <c r="B450" s="272">
        <f t="shared" ref="B450:G450" si="34">+B$28</f>
        <v>0</v>
      </c>
      <c r="C450" s="272">
        <f t="shared" si="34"/>
        <v>1</v>
      </c>
      <c r="D450" s="272">
        <f t="shared" si="34"/>
        <v>2</v>
      </c>
      <c r="E450" s="272">
        <f t="shared" si="34"/>
        <v>3</v>
      </c>
      <c r="F450" s="272">
        <f t="shared" si="34"/>
        <v>4</v>
      </c>
      <c r="G450" s="272">
        <f t="shared" si="34"/>
        <v>5</v>
      </c>
      <c r="H450" s="280" t="s">
        <v>60</v>
      </c>
    </row>
    <row r="452" spans="1:8">
      <c r="A452" s="26" t="s">
        <v>263</v>
      </c>
      <c r="C452" s="250">
        <f>+C$30</f>
        <v>1</v>
      </c>
      <c r="D452" s="250">
        <f>+D$30</f>
        <v>1</v>
      </c>
      <c r="E452" s="250">
        <f>+E$30</f>
        <v>1</v>
      </c>
      <c r="F452" s="250">
        <f>+F$30</f>
        <v>1</v>
      </c>
      <c r="G452" s="250">
        <f>+G$30</f>
        <v>1</v>
      </c>
    </row>
    <row r="454" spans="1:8">
      <c r="A454" s="27" t="s">
        <v>165</v>
      </c>
      <c r="C454" s="28"/>
      <c r="D454" s="251"/>
      <c r="E454" s="251"/>
      <c r="F454" s="251"/>
      <c r="G454" s="251"/>
      <c r="H454" s="251"/>
    </row>
    <row r="455" spans="1:8">
      <c r="A455" s="27" t="s">
        <v>166</v>
      </c>
      <c r="B455" s="28">
        <f>+$B$395</f>
        <v>120322500</v>
      </c>
      <c r="C455" s="28">
        <f>+$C$395</f>
        <v>193896853.33333331</v>
      </c>
      <c r="D455" s="28">
        <f>+$D$395</f>
        <v>872535.84000000358</v>
      </c>
      <c r="E455" s="28">
        <f>+$E$395</f>
        <v>876462.25127997994</v>
      </c>
      <c r="F455" s="28">
        <f>+$F$395</f>
        <v>880406.33141076565</v>
      </c>
      <c r="G455" s="28">
        <f>+$G$395</f>
        <v>0</v>
      </c>
      <c r="H455" s="28"/>
    </row>
    <row r="456" spans="1:8">
      <c r="A456" s="252" t="s">
        <v>187</v>
      </c>
      <c r="B456" s="28">
        <f t="shared" ref="B456:G456" si="35">+B330</f>
        <v>0</v>
      </c>
      <c r="C456" s="28">
        <f t="shared" si="35"/>
        <v>117685361.5999999</v>
      </c>
      <c r="D456" s="28">
        <f t="shared" si="35"/>
        <v>118269090.85220003</v>
      </c>
      <c r="E456" s="28">
        <f t="shared" si="35"/>
        <v>118855446.88603489</v>
      </c>
      <c r="F456" s="28">
        <f t="shared" si="35"/>
        <v>119444441.52202195</v>
      </c>
      <c r="G456" s="28">
        <f t="shared" si="35"/>
        <v>120036086.63387176</v>
      </c>
      <c r="H456" s="28"/>
    </row>
    <row r="457" spans="1:8">
      <c r="A457" s="27" t="s">
        <v>288</v>
      </c>
      <c r="B457" s="28">
        <f t="shared" ref="B457:G457" si="36">+B37</f>
        <v>0</v>
      </c>
      <c r="C457" s="28">
        <f t="shared" si="36"/>
        <v>12032250</v>
      </c>
      <c r="D457" s="28">
        <f t="shared" si="36"/>
        <v>12032250</v>
      </c>
      <c r="E457" s="28">
        <f t="shared" si="36"/>
        <v>12032250</v>
      </c>
      <c r="F457" s="28">
        <f t="shared" si="36"/>
        <v>12032250</v>
      </c>
      <c r="G457" s="28">
        <f t="shared" si="36"/>
        <v>12032250</v>
      </c>
      <c r="H457" s="28"/>
    </row>
    <row r="458" spans="1:8">
      <c r="A458" s="27" t="s">
        <v>289</v>
      </c>
      <c r="B458" s="28">
        <f t="shared" ref="B458:G458" si="37">+B51</f>
        <v>0</v>
      </c>
      <c r="C458" s="28">
        <f t="shared" si="37"/>
        <v>0</v>
      </c>
      <c r="D458" s="28">
        <f t="shared" si="37"/>
        <v>0</v>
      </c>
      <c r="E458" s="28">
        <f t="shared" si="37"/>
        <v>0</v>
      </c>
      <c r="F458" s="28">
        <f t="shared" si="37"/>
        <v>0</v>
      </c>
      <c r="G458" s="28">
        <f t="shared" si="37"/>
        <v>0</v>
      </c>
      <c r="H458" s="28"/>
    </row>
    <row r="459" spans="1:8">
      <c r="A459" s="252" t="s">
        <v>188</v>
      </c>
      <c r="B459" s="28">
        <f t="shared" ref="B459:H459" si="38">+B415</f>
        <v>0</v>
      </c>
      <c r="C459" s="28">
        <f t="shared" si="38"/>
        <v>0</v>
      </c>
      <c r="D459" s="28">
        <f t="shared" si="38"/>
        <v>0</v>
      </c>
      <c r="E459" s="28">
        <f t="shared" si="38"/>
        <v>0</v>
      </c>
      <c r="F459" s="28">
        <f t="shared" si="38"/>
        <v>0</v>
      </c>
      <c r="G459" s="28">
        <f t="shared" si="38"/>
        <v>0</v>
      </c>
      <c r="H459" s="28">
        <f t="shared" si="38"/>
        <v>0</v>
      </c>
    </row>
    <row r="460" spans="1:8">
      <c r="A460" s="254" t="s">
        <v>189</v>
      </c>
      <c r="B460" s="28"/>
      <c r="C460" s="28"/>
      <c r="D460" s="28"/>
      <c r="E460" s="28"/>
      <c r="F460" s="28"/>
      <c r="G460" s="28"/>
      <c r="H460" s="28"/>
    </row>
    <row r="461" spans="1:8">
      <c r="B461" s="28"/>
      <c r="C461" s="28"/>
      <c r="D461" s="28"/>
      <c r="E461" s="28"/>
      <c r="F461" s="28"/>
      <c r="G461" s="28"/>
      <c r="H461" s="28"/>
    </row>
    <row r="462" spans="1:8" ht="15.75">
      <c r="A462" s="290" t="s">
        <v>183</v>
      </c>
      <c r="B462" s="266">
        <f t="shared" ref="B462:H462" si="39">SUM(B455:B459)</f>
        <v>120322500</v>
      </c>
      <c r="C462" s="266">
        <f t="shared" si="39"/>
        <v>323614464.93333322</v>
      </c>
      <c r="D462" s="266">
        <f t="shared" si="39"/>
        <v>131173876.69220003</v>
      </c>
      <c r="E462" s="266">
        <f t="shared" si="39"/>
        <v>131764159.13731487</v>
      </c>
      <c r="F462" s="266">
        <f t="shared" si="39"/>
        <v>132357097.85343271</v>
      </c>
      <c r="G462" s="266">
        <f t="shared" si="39"/>
        <v>132068336.63387176</v>
      </c>
      <c r="H462" s="266">
        <f t="shared" si="39"/>
        <v>0</v>
      </c>
    </row>
    <row r="463" spans="1:8">
      <c r="B463" s="28"/>
      <c r="C463" s="28"/>
      <c r="D463" s="28"/>
      <c r="E463" s="28"/>
      <c r="F463" s="28"/>
      <c r="G463" s="28"/>
      <c r="H463" s="28"/>
    </row>
    <row r="464" spans="1:8">
      <c r="B464" s="28"/>
      <c r="C464" s="28"/>
      <c r="D464" s="28"/>
      <c r="E464" s="28"/>
      <c r="F464" s="28"/>
      <c r="G464" s="28"/>
      <c r="H464" s="28"/>
    </row>
    <row r="465" spans="1:8">
      <c r="A465" s="27" t="s">
        <v>175</v>
      </c>
      <c r="B465" s="28"/>
      <c r="C465" s="28"/>
      <c r="D465" s="28"/>
      <c r="E465" s="28"/>
      <c r="F465" s="28"/>
      <c r="G465" s="28"/>
      <c r="H465" s="28"/>
    </row>
    <row r="466" spans="1:8">
      <c r="A466" s="27" t="s">
        <v>176</v>
      </c>
      <c r="B466" s="28">
        <f>+$B$372</f>
        <v>120322500</v>
      </c>
      <c r="C466" s="28">
        <f>+$C$372</f>
        <v>193896853.33333331</v>
      </c>
      <c r="D466" s="28">
        <f>+$D$372</f>
        <v>194769389.17333332</v>
      </c>
      <c r="E466" s="28">
        <f>+$E$372</f>
        <v>195645851.4246133</v>
      </c>
      <c r="F466" s="28">
        <f>+$F$372</f>
        <v>196526257.75602406</v>
      </c>
      <c r="G466" s="28">
        <f>+$G$372</f>
        <v>197410625.91592613</v>
      </c>
      <c r="H466" s="28"/>
    </row>
    <row r="467" spans="1:8">
      <c r="A467" s="252" t="s">
        <v>177</v>
      </c>
      <c r="B467" s="28"/>
      <c r="C467" s="28"/>
      <c r="D467" s="28"/>
      <c r="E467" s="28"/>
      <c r="F467" s="28"/>
      <c r="G467" s="28"/>
      <c r="H467" s="28"/>
    </row>
    <row r="468" spans="1:8">
      <c r="A468" s="27" t="s">
        <v>290</v>
      </c>
      <c r="B468" s="28">
        <f t="shared" ref="B468:G468" si="40">+B165</f>
        <v>0</v>
      </c>
      <c r="C468" s="28">
        <f t="shared" si="40"/>
        <v>0</v>
      </c>
      <c r="D468" s="28">
        <f t="shared" si="40"/>
        <v>0</v>
      </c>
      <c r="E468" s="28">
        <f t="shared" si="40"/>
        <v>0</v>
      </c>
      <c r="F468" s="28">
        <f t="shared" si="40"/>
        <v>0</v>
      </c>
      <c r="G468" s="28">
        <f t="shared" si="40"/>
        <v>0</v>
      </c>
      <c r="H468" s="28"/>
    </row>
    <row r="469" spans="1:8">
      <c r="A469" s="27" t="s">
        <v>179</v>
      </c>
      <c r="B469" s="28"/>
      <c r="C469" s="28"/>
      <c r="D469" s="28"/>
      <c r="E469" s="28"/>
      <c r="F469" s="28"/>
      <c r="G469" s="28"/>
      <c r="H469" s="28"/>
    </row>
    <row r="470" spans="1:8">
      <c r="A470" s="252" t="s">
        <v>190</v>
      </c>
      <c r="B470" s="28">
        <f t="shared" ref="B470:G470" si="41">+B429</f>
        <v>0</v>
      </c>
      <c r="C470" s="28">
        <f t="shared" si="41"/>
        <v>0</v>
      </c>
      <c r="D470" s="28">
        <f t="shared" si="41"/>
        <v>0</v>
      </c>
      <c r="E470" s="28">
        <f t="shared" si="41"/>
        <v>0</v>
      </c>
      <c r="F470" s="28">
        <f t="shared" si="41"/>
        <v>0</v>
      </c>
      <c r="G470" s="28">
        <f t="shared" si="41"/>
        <v>0</v>
      </c>
      <c r="H470" s="28"/>
    </row>
    <row r="471" spans="1:8">
      <c r="A471" s="252" t="s">
        <v>191</v>
      </c>
      <c r="B471" s="28">
        <f t="shared" ref="B471:G471" si="42">+B430</f>
        <v>0</v>
      </c>
      <c r="C471" s="28">
        <f t="shared" si="42"/>
        <v>41189876.559999965</v>
      </c>
      <c r="D471" s="28">
        <f t="shared" si="42"/>
        <v>41394181.798270009</v>
      </c>
      <c r="E471" s="28">
        <f t="shared" si="42"/>
        <v>41599406.41011221</v>
      </c>
      <c r="F471" s="28">
        <f t="shared" si="42"/>
        <v>41805554.532707676</v>
      </c>
      <c r="G471" s="28">
        <f t="shared" si="42"/>
        <v>42012630.321855113</v>
      </c>
      <c r="H471" s="28"/>
    </row>
    <row r="472" spans="1:8">
      <c r="A472" s="27" t="s">
        <v>192</v>
      </c>
      <c r="B472" s="28">
        <f t="shared" ref="B472:G472" si="43">+B431</f>
        <v>0</v>
      </c>
      <c r="C472" s="28">
        <f t="shared" si="43"/>
        <v>0</v>
      </c>
      <c r="D472" s="28">
        <f t="shared" si="43"/>
        <v>0</v>
      </c>
      <c r="E472" s="28">
        <f t="shared" si="43"/>
        <v>0</v>
      </c>
      <c r="F472" s="28">
        <f t="shared" si="43"/>
        <v>0</v>
      </c>
      <c r="G472" s="28">
        <f t="shared" si="43"/>
        <v>0</v>
      </c>
      <c r="H472" s="28"/>
    </row>
    <row r="473" spans="1:8">
      <c r="A473" s="254"/>
      <c r="B473" s="28"/>
      <c r="C473" s="28"/>
      <c r="D473" s="28"/>
      <c r="E473" s="28"/>
      <c r="F473" s="28"/>
      <c r="G473" s="28"/>
      <c r="H473" s="28"/>
    </row>
    <row r="474" spans="1:8">
      <c r="A474" s="27"/>
      <c r="B474" s="28"/>
      <c r="C474" s="28"/>
      <c r="D474" s="28"/>
      <c r="E474" s="28"/>
      <c r="F474" s="28"/>
      <c r="G474" s="28"/>
      <c r="H474" s="28"/>
    </row>
    <row r="475" spans="1:8" ht="15.75">
      <c r="A475" s="299" t="s">
        <v>184</v>
      </c>
      <c r="B475" s="266">
        <f t="shared" ref="B475:H475" si="44">SUM(B466:B473)</f>
        <v>120322500</v>
      </c>
      <c r="C475" s="266">
        <f t="shared" si="44"/>
        <v>235086729.89333329</v>
      </c>
      <c r="D475" s="266">
        <f t="shared" si="44"/>
        <v>236163570.97160333</v>
      </c>
      <c r="E475" s="266">
        <f t="shared" si="44"/>
        <v>237245257.8347255</v>
      </c>
      <c r="F475" s="266">
        <f t="shared" si="44"/>
        <v>238331812.28873175</v>
      </c>
      <c r="G475" s="266">
        <f t="shared" si="44"/>
        <v>239423256.23778123</v>
      </c>
      <c r="H475" s="266">
        <f t="shared" si="44"/>
        <v>0</v>
      </c>
    </row>
    <row r="476" spans="1:8">
      <c r="A476" s="27"/>
      <c r="B476" s="28"/>
      <c r="C476" s="28"/>
      <c r="D476" s="28"/>
      <c r="E476" s="28"/>
      <c r="F476" s="28"/>
      <c r="G476" s="28"/>
      <c r="H476" s="28"/>
    </row>
    <row r="477" spans="1:8">
      <c r="A477" s="252" t="s">
        <v>185</v>
      </c>
      <c r="B477" s="28">
        <f t="shared" ref="B477:G477" si="45">+B462-B475</f>
        <v>0</v>
      </c>
      <c r="C477" s="28">
        <f t="shared" si="45"/>
        <v>88527735.039999932</v>
      </c>
      <c r="D477" s="28">
        <f t="shared" si="45"/>
        <v>-104989694.2794033</v>
      </c>
      <c r="E477" s="28">
        <f t="shared" si="45"/>
        <v>-105481098.69741063</v>
      </c>
      <c r="F477" s="28">
        <f t="shared" si="45"/>
        <v>-105974714.43529904</v>
      </c>
      <c r="G477" s="28">
        <f t="shared" si="45"/>
        <v>-107354919.60390946</v>
      </c>
      <c r="H477" s="28">
        <f>+H462-H475</f>
        <v>0</v>
      </c>
    </row>
    <row r="478" spans="1:8">
      <c r="A478" s="254"/>
      <c r="B478" s="28"/>
      <c r="C478" s="28"/>
      <c r="D478" s="28"/>
      <c r="E478" s="28"/>
      <c r="F478" s="28"/>
      <c r="G478" s="28"/>
      <c r="H478" s="28"/>
    </row>
    <row r="479" spans="1:8">
      <c r="B479" s="28"/>
      <c r="C479" s="28"/>
      <c r="D479" s="28"/>
      <c r="E479" s="28"/>
      <c r="F479" s="28"/>
      <c r="G479" s="28"/>
      <c r="H479" s="28"/>
    </row>
    <row r="480" spans="1:8" ht="16.5" thickBot="1">
      <c r="A480" s="300" t="s">
        <v>186</v>
      </c>
      <c r="B480" s="282">
        <f>+B477</f>
        <v>0</v>
      </c>
      <c r="C480" s="282">
        <f>B480+C477</f>
        <v>88527735.039999932</v>
      </c>
      <c r="D480" s="282">
        <f>+C480+D477</f>
        <v>-16461959.239403367</v>
      </c>
      <c r="E480" s="282">
        <f>+D480+E477</f>
        <v>-121943057.936814</v>
      </c>
      <c r="F480" s="282">
        <f>+E480+F477</f>
        <v>-227917772.37211305</v>
      </c>
      <c r="G480" s="282">
        <f>+F480+G477</f>
        <v>-335272691.97602248</v>
      </c>
      <c r="H480" s="282" t="e">
        <f>+#REF!+H477</f>
        <v>#REF!</v>
      </c>
    </row>
    <row r="481" spans="1:8">
      <c r="A481" s="26" t="s">
        <v>539</v>
      </c>
      <c r="B481" s="28"/>
      <c r="C481" s="28"/>
      <c r="D481" s="28"/>
      <c r="E481" s="28"/>
      <c r="F481" s="28"/>
      <c r="G481" s="28"/>
      <c r="H481" s="28"/>
    </row>
    <row r="485" spans="1:8" ht="15.75">
      <c r="A485" s="249" t="s">
        <v>235</v>
      </c>
      <c r="B485" s="249"/>
      <c r="C485" s="249"/>
      <c r="D485" s="249"/>
      <c r="E485" s="249"/>
      <c r="F485" s="249"/>
      <c r="G485" s="249"/>
      <c r="H485" s="249"/>
    </row>
    <row r="486" spans="1:8" ht="15.75">
      <c r="A486" s="249" t="s">
        <v>194</v>
      </c>
      <c r="B486" s="249"/>
      <c r="C486" s="249"/>
      <c r="D486" s="249"/>
      <c r="E486" s="249"/>
      <c r="F486" s="249"/>
      <c r="G486" s="249"/>
      <c r="H486" s="249"/>
    </row>
    <row r="487" spans="1:8" ht="15.75">
      <c r="A487" s="279" t="s">
        <v>57</v>
      </c>
      <c r="B487" s="279"/>
      <c r="C487" s="279"/>
      <c r="D487" s="279"/>
      <c r="E487" s="279"/>
      <c r="F487" s="279"/>
      <c r="G487" s="279"/>
      <c r="H487" s="249"/>
    </row>
    <row r="488" spans="1:8" ht="16.5" thickBot="1">
      <c r="B488" s="270" t="s">
        <v>262</v>
      </c>
    </row>
    <row r="489" spans="1:8" ht="16.5" thickBot="1">
      <c r="A489" s="30" t="s">
        <v>58</v>
      </c>
      <c r="B489" s="249"/>
      <c r="C489" s="381" t="s">
        <v>59</v>
      </c>
      <c r="D489" s="381"/>
      <c r="E489" s="381"/>
      <c r="F489" s="381"/>
      <c r="G489" s="381"/>
      <c r="H489" s="249"/>
    </row>
    <row r="491" spans="1:8" ht="15.75">
      <c r="A491" s="286" t="s">
        <v>60</v>
      </c>
      <c r="B491" s="272">
        <f t="shared" ref="B491:G491" si="46">+B$28</f>
        <v>0</v>
      </c>
      <c r="C491" s="272">
        <f t="shared" si="46"/>
        <v>1</v>
      </c>
      <c r="D491" s="272">
        <f t="shared" si="46"/>
        <v>2</v>
      </c>
      <c r="E491" s="272">
        <f t="shared" si="46"/>
        <v>3</v>
      </c>
      <c r="F491" s="272">
        <f t="shared" si="46"/>
        <v>4</v>
      </c>
      <c r="G491" s="272">
        <f t="shared" si="46"/>
        <v>5</v>
      </c>
      <c r="H491" s="71"/>
    </row>
    <row r="493" spans="1:8">
      <c r="A493" s="26" t="s">
        <v>263</v>
      </c>
      <c r="C493" s="250">
        <f>+C$30</f>
        <v>1</v>
      </c>
      <c r="D493" s="250">
        <f>+D$30</f>
        <v>1</v>
      </c>
      <c r="E493" s="250">
        <f>+E$30</f>
        <v>1</v>
      </c>
      <c r="F493" s="250">
        <f>+F$30</f>
        <v>1</v>
      </c>
      <c r="G493" s="250">
        <f>+G$30</f>
        <v>1</v>
      </c>
      <c r="H493" s="250"/>
    </row>
    <row r="495" spans="1:8">
      <c r="A495" s="27" t="s">
        <v>195</v>
      </c>
      <c r="C495" s="28"/>
      <c r="D495" s="251"/>
      <c r="E495" s="251"/>
      <c r="F495" s="251"/>
      <c r="G495" s="251"/>
      <c r="H495" s="251"/>
    </row>
    <row r="496" spans="1:8">
      <c r="A496" s="27" t="s">
        <v>196</v>
      </c>
      <c r="B496" s="254"/>
      <c r="C496" s="254"/>
      <c r="D496" s="254"/>
      <c r="E496" s="254"/>
      <c r="F496" s="254"/>
      <c r="G496" s="254"/>
      <c r="H496" s="254"/>
    </row>
    <row r="497" spans="1:8">
      <c r="A497" s="256" t="s">
        <v>197</v>
      </c>
      <c r="B497" s="28"/>
      <c r="C497" s="28">
        <f>+C439+D195</f>
        <v>97291901.706666633</v>
      </c>
      <c r="D497" s="28">
        <f>+D439+E195</f>
        <v>186238499.51059642</v>
      </c>
      <c r="E497" s="28">
        <f>+E439+F195</f>
        <v>275566406.21089399</v>
      </c>
      <c r="F497" s="28">
        <f>+F439+G195</f>
        <v>365277337.69759279</v>
      </c>
      <c r="G497" s="28">
        <f>+G439+H195</f>
        <v>455373017.58223218</v>
      </c>
      <c r="H497" s="28"/>
    </row>
    <row r="498" spans="1:8">
      <c r="A498" s="256" t="s">
        <v>99</v>
      </c>
      <c r="B498" s="28"/>
      <c r="C498" s="28">
        <f>+D214</f>
        <v>0</v>
      </c>
      <c r="D498" s="28">
        <f>+E214</f>
        <v>0</v>
      </c>
      <c r="E498" s="28">
        <f>+F214</f>
        <v>0</v>
      </c>
      <c r="F498" s="28">
        <f>+G214</f>
        <v>0</v>
      </c>
      <c r="G498" s="28">
        <f>+H214</f>
        <v>0</v>
      </c>
      <c r="H498" s="28"/>
    </row>
    <row r="499" spans="1:8">
      <c r="A499" s="256" t="s">
        <v>198</v>
      </c>
      <c r="B499" s="28"/>
      <c r="C499" s="28">
        <f t="shared" ref="C499:G501" si="47">+D216</f>
        <v>185132686.66666666</v>
      </c>
      <c r="D499" s="28">
        <f t="shared" si="47"/>
        <v>185965783.75666666</v>
      </c>
      <c r="E499" s="28">
        <f t="shared" si="47"/>
        <v>186802629.78357163</v>
      </c>
      <c r="F499" s="28">
        <f t="shared" si="47"/>
        <v>187643241.6175977</v>
      </c>
      <c r="G499" s="28">
        <f t="shared" si="47"/>
        <v>188487636.20487687</v>
      </c>
      <c r="H499" s="28"/>
    </row>
    <row r="500" spans="1:8">
      <c r="A500" s="257" t="s">
        <v>199</v>
      </c>
      <c r="B500" s="28"/>
      <c r="C500" s="28">
        <f t="shared" si="47"/>
        <v>0</v>
      </c>
      <c r="D500" s="28">
        <f t="shared" si="47"/>
        <v>0</v>
      </c>
      <c r="E500" s="28">
        <f t="shared" si="47"/>
        <v>0</v>
      </c>
      <c r="F500" s="28">
        <f t="shared" si="47"/>
        <v>0</v>
      </c>
      <c r="G500" s="28">
        <f t="shared" si="47"/>
        <v>0</v>
      </c>
      <c r="H500" s="28"/>
    </row>
    <row r="501" spans="1:8">
      <c r="A501" s="256" t="s">
        <v>200</v>
      </c>
      <c r="B501" s="28"/>
      <c r="C501" s="28">
        <f t="shared" si="47"/>
        <v>0</v>
      </c>
      <c r="D501" s="28">
        <f t="shared" si="47"/>
        <v>0</v>
      </c>
      <c r="E501" s="28">
        <f t="shared" si="47"/>
        <v>0</v>
      </c>
      <c r="F501" s="28">
        <f t="shared" si="47"/>
        <v>0</v>
      </c>
      <c r="G501" s="28">
        <f t="shared" si="47"/>
        <v>0</v>
      </c>
      <c r="H501" s="28"/>
    </row>
    <row r="502" spans="1:8">
      <c r="A502" s="256" t="s">
        <v>201</v>
      </c>
      <c r="B502" s="28"/>
      <c r="C502" s="28"/>
      <c r="D502" s="28"/>
      <c r="E502" s="28"/>
      <c r="F502" s="28"/>
      <c r="G502" s="28"/>
      <c r="H502" s="28"/>
    </row>
    <row r="503" spans="1:8" ht="15.75">
      <c r="A503" s="301" t="s">
        <v>202</v>
      </c>
      <c r="B503" s="266"/>
      <c r="C503" s="266">
        <f>SUM(C497:C502)</f>
        <v>282424588.37333328</v>
      </c>
      <c r="D503" s="266">
        <f>SUM(D497:D502)</f>
        <v>372204283.26726305</v>
      </c>
      <c r="E503" s="266">
        <f>SUM(E497:E502)</f>
        <v>462369035.99446559</v>
      </c>
      <c r="F503" s="266">
        <f>SUM(F497:F502)</f>
        <v>552920579.31519055</v>
      </c>
      <c r="G503" s="266">
        <f>SUM(G497:G502)</f>
        <v>643860653.78710902</v>
      </c>
      <c r="H503" s="28"/>
    </row>
    <row r="504" spans="1:8">
      <c r="B504" s="28"/>
      <c r="C504" s="28"/>
      <c r="D504" s="28"/>
      <c r="E504" s="28"/>
      <c r="F504" s="28"/>
      <c r="G504" s="28"/>
      <c r="H504" s="28"/>
    </row>
    <row r="505" spans="1:8">
      <c r="A505" s="252" t="s">
        <v>203</v>
      </c>
      <c r="B505" s="28"/>
      <c r="C505" s="28"/>
      <c r="D505" s="28"/>
      <c r="E505" s="28"/>
      <c r="F505" s="28"/>
      <c r="G505" s="28"/>
      <c r="H505" s="28"/>
    </row>
    <row r="506" spans="1:8">
      <c r="A506" s="27" t="s">
        <v>204</v>
      </c>
      <c r="B506" s="28"/>
      <c r="C506" s="28"/>
      <c r="D506" s="28"/>
      <c r="E506" s="28"/>
      <c r="F506" s="28"/>
      <c r="G506" s="28"/>
      <c r="H506" s="28"/>
    </row>
    <row r="507" spans="1:8">
      <c r="A507" s="257" t="s">
        <v>205</v>
      </c>
      <c r="B507" s="28">
        <f>+B258</f>
        <v>0</v>
      </c>
      <c r="C507" s="28">
        <f>+C258+B507</f>
        <v>0</v>
      </c>
      <c r="D507" s="28">
        <f>+D258+C507</f>
        <v>0</v>
      </c>
      <c r="E507" s="28">
        <f>+E258+D507</f>
        <v>0</v>
      </c>
      <c r="F507" s="28">
        <f>+F258+E507</f>
        <v>0</v>
      </c>
      <c r="G507" s="28">
        <f>+G258+F507</f>
        <v>0</v>
      </c>
      <c r="H507" s="28"/>
    </row>
    <row r="508" spans="1:8">
      <c r="A508" s="26" t="s">
        <v>206</v>
      </c>
      <c r="B508" s="28"/>
      <c r="C508" s="28"/>
      <c r="D508" s="28"/>
      <c r="E508" s="28"/>
      <c r="F508" s="28"/>
      <c r="G508" s="28"/>
      <c r="H508" s="28"/>
    </row>
    <row r="509" spans="1:8">
      <c r="A509" s="257" t="s">
        <v>207</v>
      </c>
      <c r="B509" s="28">
        <f>+B259-B32</f>
        <v>100000000</v>
      </c>
      <c r="C509" s="28">
        <f t="shared" ref="C509:G510" si="48">+D259-C32+B509</f>
        <v>90000000</v>
      </c>
      <c r="D509" s="28">
        <f t="shared" si="48"/>
        <v>80000000</v>
      </c>
      <c r="E509" s="28">
        <f t="shared" si="48"/>
        <v>70000000</v>
      </c>
      <c r="F509" s="28">
        <f t="shared" si="48"/>
        <v>60000000</v>
      </c>
      <c r="G509" s="28">
        <f t="shared" si="48"/>
        <v>50000000</v>
      </c>
      <c r="H509" s="28"/>
    </row>
    <row r="510" spans="1:8">
      <c r="A510" s="257" t="s">
        <v>208</v>
      </c>
      <c r="B510" s="28">
        <f>+B260-B33</f>
        <v>7260000</v>
      </c>
      <c r="C510" s="28">
        <f t="shared" si="48"/>
        <v>6534000</v>
      </c>
      <c r="D510" s="28">
        <f t="shared" si="48"/>
        <v>5808000</v>
      </c>
      <c r="E510" s="28">
        <f t="shared" si="48"/>
        <v>5082000</v>
      </c>
      <c r="F510" s="28">
        <f t="shared" si="48"/>
        <v>4356000</v>
      </c>
      <c r="G510" s="28">
        <f t="shared" si="48"/>
        <v>3630000</v>
      </c>
      <c r="H510" s="28"/>
    </row>
    <row r="511" spans="1:8">
      <c r="A511" s="257" t="s">
        <v>209</v>
      </c>
      <c r="B511" s="28">
        <f>+B262-B35</f>
        <v>7660000</v>
      </c>
      <c r="C511" s="28">
        <f>+D262-C35+B511</f>
        <v>6894000</v>
      </c>
      <c r="D511" s="28">
        <f>+E262-D35+C511</f>
        <v>6128000</v>
      </c>
      <c r="E511" s="28">
        <f>+F262-E35+D511</f>
        <v>5362000</v>
      </c>
      <c r="F511" s="28">
        <f>+G262-F35+E511</f>
        <v>4596000</v>
      </c>
      <c r="G511" s="28">
        <f>+H262-G35+F511</f>
        <v>3830000</v>
      </c>
      <c r="H511" s="28"/>
    </row>
    <row r="512" spans="1:8">
      <c r="A512" s="256" t="s">
        <v>291</v>
      </c>
      <c r="B512" s="28">
        <f>+B261-B34</f>
        <v>5402500</v>
      </c>
      <c r="C512" s="28">
        <f>+D261-C34+B512</f>
        <v>4862250</v>
      </c>
      <c r="D512" s="28">
        <f>+E261-D34+C512</f>
        <v>4322000</v>
      </c>
      <c r="E512" s="28">
        <f>+F261-E34+D512</f>
        <v>3781750</v>
      </c>
      <c r="F512" s="28">
        <f>+G261-F34+E512</f>
        <v>3241500</v>
      </c>
      <c r="G512" s="28">
        <f>+H261-G34+F512</f>
        <v>2701250</v>
      </c>
      <c r="H512" s="28"/>
    </row>
    <row r="513" spans="1:8">
      <c r="A513" s="257" t="s">
        <v>210</v>
      </c>
      <c r="B513" s="28">
        <v>0</v>
      </c>
      <c r="C513" s="28">
        <v>0</v>
      </c>
      <c r="D513" s="28">
        <v>0</v>
      </c>
      <c r="E513" s="28">
        <v>0</v>
      </c>
      <c r="F513" s="28">
        <v>0</v>
      </c>
      <c r="G513" s="28">
        <v>0</v>
      </c>
      <c r="H513" s="28"/>
    </row>
    <row r="514" spans="1:8">
      <c r="A514" s="257" t="s">
        <v>211</v>
      </c>
      <c r="B514" s="28">
        <f t="shared" ref="B514:G514" si="49">SUM(B507:B513)</f>
        <v>120322500</v>
      </c>
      <c r="C514" s="28">
        <f t="shared" si="49"/>
        <v>108290250</v>
      </c>
      <c r="D514" s="28">
        <f t="shared" si="49"/>
        <v>96258000</v>
      </c>
      <c r="E514" s="28">
        <f t="shared" si="49"/>
        <v>84225750</v>
      </c>
      <c r="F514" s="28">
        <f t="shared" si="49"/>
        <v>72193500</v>
      </c>
      <c r="G514" s="28">
        <f t="shared" si="49"/>
        <v>60161250</v>
      </c>
      <c r="H514" s="28"/>
    </row>
    <row r="515" spans="1:8">
      <c r="A515" s="27" t="s">
        <v>212</v>
      </c>
      <c r="B515" s="28"/>
      <c r="C515" s="28"/>
      <c r="D515" s="28"/>
      <c r="E515" s="28"/>
      <c r="F515" s="28"/>
      <c r="G515" s="28"/>
      <c r="H515" s="28"/>
    </row>
    <row r="516" spans="1:8">
      <c r="A516" s="257" t="s">
        <v>213</v>
      </c>
      <c r="B516" s="28">
        <f>+B268-B51</f>
        <v>0</v>
      </c>
      <c r="C516" s="28">
        <f>+B516+D268-C51</f>
        <v>0</v>
      </c>
      <c r="D516" s="28">
        <f>+C516+E268-D51</f>
        <v>0</v>
      </c>
      <c r="E516" s="28">
        <f>+D516+F268-E51</f>
        <v>0</v>
      </c>
      <c r="F516" s="28">
        <f>+E516+G268-F51</f>
        <v>0</v>
      </c>
      <c r="G516" s="28">
        <f>+F516+H268-G51</f>
        <v>0</v>
      </c>
      <c r="H516" s="28"/>
    </row>
    <row r="517" spans="1:8" ht="15.75">
      <c r="A517" s="302" t="s">
        <v>214</v>
      </c>
      <c r="B517" s="266">
        <f t="shared" ref="B517:G517" si="50">+B516</f>
        <v>0</v>
      </c>
      <c r="C517" s="266">
        <f t="shared" si="50"/>
        <v>0</v>
      </c>
      <c r="D517" s="266">
        <f t="shared" si="50"/>
        <v>0</v>
      </c>
      <c r="E517" s="266">
        <f t="shared" si="50"/>
        <v>0</v>
      </c>
      <c r="F517" s="266">
        <f t="shared" si="50"/>
        <v>0</v>
      </c>
      <c r="G517" s="266">
        <f t="shared" si="50"/>
        <v>0</v>
      </c>
      <c r="H517" s="28"/>
    </row>
    <row r="518" spans="1:8">
      <c r="B518" s="28"/>
      <c r="C518" s="28"/>
      <c r="D518" s="28"/>
      <c r="E518" s="28"/>
      <c r="F518" s="28"/>
      <c r="G518" s="28"/>
      <c r="H518" s="28"/>
    </row>
    <row r="519" spans="1:8" ht="15.75">
      <c r="A519" s="29" t="s">
        <v>215</v>
      </c>
      <c r="B519" s="266">
        <f t="shared" ref="B519:G519" si="51">+B517+B514+B503</f>
        <v>120322500</v>
      </c>
      <c r="C519" s="266">
        <f t="shared" si="51"/>
        <v>390714838.37333328</v>
      </c>
      <c r="D519" s="266">
        <f t="shared" si="51"/>
        <v>468462283.26726305</v>
      </c>
      <c r="E519" s="266">
        <f t="shared" si="51"/>
        <v>546594785.99446559</v>
      </c>
      <c r="F519" s="266">
        <f t="shared" si="51"/>
        <v>625114079.31519055</v>
      </c>
      <c r="G519" s="266">
        <f t="shared" si="51"/>
        <v>704021903.78710902</v>
      </c>
      <c r="H519" s="28"/>
    </row>
    <row r="520" spans="1:8">
      <c r="B520" s="28"/>
      <c r="C520" s="28"/>
      <c r="D520" s="28"/>
      <c r="E520" s="28"/>
      <c r="F520" s="28"/>
      <c r="G520" s="28"/>
      <c r="H520" s="28"/>
    </row>
    <row r="521" spans="1:8">
      <c r="A521" s="26" t="s">
        <v>216</v>
      </c>
      <c r="B521" s="28"/>
      <c r="C521" s="28"/>
      <c r="D521" s="28"/>
      <c r="E521" s="28"/>
      <c r="F521" s="28"/>
      <c r="G521" s="28"/>
      <c r="H521" s="28"/>
    </row>
    <row r="522" spans="1:8">
      <c r="B522" s="28"/>
      <c r="C522" s="28"/>
      <c r="D522" s="28"/>
      <c r="E522" s="28"/>
      <c r="F522" s="28"/>
      <c r="G522" s="28"/>
      <c r="H522" s="28"/>
    </row>
    <row r="523" spans="1:8">
      <c r="A523" s="26" t="s">
        <v>217</v>
      </c>
      <c r="B523" s="28"/>
      <c r="C523" s="28"/>
      <c r="D523" s="28"/>
      <c r="E523" s="28"/>
      <c r="F523" s="28"/>
      <c r="G523" s="28"/>
      <c r="H523" s="28"/>
    </row>
    <row r="524" spans="1:8">
      <c r="A524" s="257" t="s">
        <v>218</v>
      </c>
      <c r="B524" s="28">
        <f>+C237</f>
        <v>0</v>
      </c>
      <c r="C524" s="28">
        <f>+D237+B524</f>
        <v>0</v>
      </c>
      <c r="D524" s="28">
        <f>+E237+C524</f>
        <v>0</v>
      </c>
      <c r="E524" s="28">
        <f>+F237+D524</f>
        <v>0</v>
      </c>
      <c r="F524" s="28">
        <f>+G237+E524</f>
        <v>0</v>
      </c>
      <c r="G524" s="28">
        <f>+H237+F524</f>
        <v>0</v>
      </c>
      <c r="H524" s="28"/>
    </row>
    <row r="525" spans="1:8">
      <c r="A525" s="257" t="s">
        <v>219</v>
      </c>
      <c r="B525" s="28">
        <f>+B389-B67</f>
        <v>0</v>
      </c>
      <c r="C525" s="28">
        <f>+D390-C67+B525</f>
        <v>0</v>
      </c>
      <c r="D525" s="28">
        <f>+C390-D67+C525</f>
        <v>0</v>
      </c>
      <c r="E525" s="28">
        <f>+D390-E67+D525</f>
        <v>0</v>
      </c>
      <c r="F525" s="28">
        <f>+E390-F67+E525</f>
        <v>0</v>
      </c>
      <c r="G525" s="28">
        <f>+F390-G67+F525</f>
        <v>0</v>
      </c>
      <c r="H525" s="28"/>
    </row>
    <row r="526" spans="1:8">
      <c r="A526" s="257" t="s">
        <v>220</v>
      </c>
      <c r="B526" s="28"/>
      <c r="C526" s="28"/>
      <c r="D526" s="28"/>
      <c r="E526" s="28"/>
      <c r="F526" s="28"/>
      <c r="G526" s="28"/>
      <c r="H526" s="28"/>
    </row>
    <row r="527" spans="1:8">
      <c r="A527" s="256" t="s">
        <v>221</v>
      </c>
      <c r="B527" s="28">
        <f t="shared" ref="B527:G527" si="52">+B524+B525</f>
        <v>0</v>
      </c>
      <c r="C527" s="28">
        <f t="shared" si="52"/>
        <v>0</v>
      </c>
      <c r="D527" s="28">
        <f t="shared" si="52"/>
        <v>0</v>
      </c>
      <c r="E527" s="28">
        <f t="shared" si="52"/>
        <v>0</v>
      </c>
      <c r="F527" s="28">
        <f t="shared" si="52"/>
        <v>0</v>
      </c>
      <c r="G527" s="28">
        <f t="shared" si="52"/>
        <v>0</v>
      </c>
      <c r="H527" s="28"/>
    </row>
    <row r="528" spans="1:8">
      <c r="B528" s="28"/>
      <c r="C528" s="28"/>
      <c r="D528" s="28"/>
      <c r="E528" s="28"/>
      <c r="F528" s="28"/>
      <c r="G528" s="28"/>
      <c r="H528" s="28"/>
    </row>
    <row r="529" spans="1:12">
      <c r="A529" s="26" t="s">
        <v>222</v>
      </c>
      <c r="B529" s="28"/>
      <c r="C529" s="28"/>
      <c r="D529" s="28"/>
      <c r="E529" s="28"/>
      <c r="F529" s="28"/>
      <c r="G529" s="28"/>
      <c r="H529" s="28"/>
    </row>
    <row r="530" spans="1:12">
      <c r="A530" s="257" t="s">
        <v>223</v>
      </c>
      <c r="B530" s="28">
        <f>+B387</f>
        <v>120322500</v>
      </c>
      <c r="C530" s="28">
        <f>+C387+B530</f>
        <v>314219353.33333331</v>
      </c>
      <c r="D530" s="28">
        <f>+D387+C530</f>
        <v>315091889.17333329</v>
      </c>
      <c r="E530" s="28">
        <f>+E387+D530</f>
        <v>315968351.42461324</v>
      </c>
      <c r="F530" s="28">
        <f>+F387+E530</f>
        <v>316848757.756024</v>
      </c>
      <c r="G530" s="28">
        <f>+G387+F530</f>
        <v>316848757.756024</v>
      </c>
      <c r="H530" s="28"/>
    </row>
    <row r="531" spans="1:12">
      <c r="A531" s="257" t="s">
        <v>224</v>
      </c>
      <c r="B531" s="28">
        <f t="shared" ref="B531:G531" si="53">+B350</f>
        <v>0</v>
      </c>
      <c r="C531" s="28">
        <f t="shared" si="53"/>
        <v>76495485.039999932</v>
      </c>
      <c r="D531" s="28">
        <f t="shared" si="53"/>
        <v>153370394.09392995</v>
      </c>
      <c r="E531" s="28">
        <f t="shared" si="53"/>
        <v>230626434.56985262</v>
      </c>
      <c r="F531" s="28">
        <f t="shared" si="53"/>
        <v>308265321.55916691</v>
      </c>
      <c r="G531" s="28">
        <f t="shared" si="53"/>
        <v>386288777.87118357</v>
      </c>
      <c r="H531" s="28"/>
    </row>
    <row r="532" spans="1:12">
      <c r="A532" s="257"/>
      <c r="B532" s="28"/>
      <c r="C532" s="28"/>
      <c r="D532" s="28"/>
      <c r="E532" s="28"/>
      <c r="F532" s="28"/>
      <c r="G532" s="28"/>
      <c r="H532" s="28"/>
    </row>
    <row r="533" spans="1:12" ht="15.75">
      <c r="A533" s="302" t="s">
        <v>225</v>
      </c>
      <c r="B533" s="266">
        <f t="shared" ref="B533:G533" si="54">+B530+B531</f>
        <v>120322500</v>
      </c>
      <c r="C533" s="266">
        <f t="shared" si="54"/>
        <v>390714838.37333322</v>
      </c>
      <c r="D533" s="266">
        <f t="shared" si="54"/>
        <v>468462283.26726323</v>
      </c>
      <c r="E533" s="266">
        <f t="shared" si="54"/>
        <v>546594785.99446583</v>
      </c>
      <c r="F533" s="266">
        <f t="shared" si="54"/>
        <v>625114079.31519091</v>
      </c>
      <c r="G533" s="266">
        <f t="shared" si="54"/>
        <v>703137535.62720752</v>
      </c>
      <c r="H533" s="28"/>
    </row>
    <row r="534" spans="1:12">
      <c r="B534" s="28"/>
      <c r="C534" s="28"/>
      <c r="D534" s="28"/>
      <c r="E534" s="28"/>
      <c r="F534" s="28"/>
      <c r="G534" s="28"/>
      <c r="H534" s="28"/>
    </row>
    <row r="535" spans="1:12" ht="16.5" thickBot="1">
      <c r="A535" s="303" t="s">
        <v>226</v>
      </c>
      <c r="B535" s="282">
        <f t="shared" ref="B535:G535" si="55">+B533+B527</f>
        <v>120322500</v>
      </c>
      <c r="C535" s="282">
        <f t="shared" si="55"/>
        <v>390714838.37333322</v>
      </c>
      <c r="D535" s="282">
        <f t="shared" si="55"/>
        <v>468462283.26726323</v>
      </c>
      <c r="E535" s="282">
        <f t="shared" si="55"/>
        <v>546594785.99446583</v>
      </c>
      <c r="F535" s="282">
        <f t="shared" si="55"/>
        <v>625114079.31519091</v>
      </c>
      <c r="G535" s="282">
        <f t="shared" si="55"/>
        <v>703137535.62720752</v>
      </c>
      <c r="H535" s="28"/>
    </row>
    <row r="536" spans="1:12">
      <c r="A536" s="26" t="s">
        <v>539</v>
      </c>
    </row>
    <row r="537" spans="1:12">
      <c r="B537" s="28"/>
      <c r="C537" s="28"/>
      <c r="D537" s="28"/>
      <c r="E537" s="28"/>
      <c r="F537" s="28"/>
      <c r="G537" s="28"/>
    </row>
    <row r="539" spans="1:12" ht="15.75">
      <c r="A539" s="379" t="s">
        <v>253</v>
      </c>
      <c r="B539" s="379"/>
      <c r="C539" s="379"/>
      <c r="D539" s="379"/>
      <c r="E539" s="379"/>
      <c r="F539" s="379"/>
      <c r="G539" s="379"/>
      <c r="H539" s="249"/>
    </row>
    <row r="540" spans="1:12" ht="15.75">
      <c r="A540" s="379" t="s">
        <v>292</v>
      </c>
      <c r="B540" s="379"/>
      <c r="C540" s="379"/>
      <c r="D540" s="379"/>
      <c r="E540" s="379"/>
      <c r="F540" s="379"/>
      <c r="G540" s="379"/>
      <c r="H540" s="249"/>
    </row>
    <row r="541" spans="1:12" ht="15.75">
      <c r="A541" s="379" t="s">
        <v>540</v>
      </c>
      <c r="B541" s="379"/>
      <c r="C541" s="379"/>
      <c r="D541" s="379"/>
      <c r="E541" s="379"/>
      <c r="F541" s="379"/>
      <c r="G541" s="379"/>
      <c r="K541" s="28"/>
      <c r="L541" s="251"/>
    </row>
    <row r="542" spans="1:12" ht="16.5" thickBot="1">
      <c r="A542" s="276"/>
      <c r="B542" s="270" t="s">
        <v>262</v>
      </c>
      <c r="C542" s="276"/>
      <c r="D542" s="276"/>
      <c r="E542" s="276"/>
      <c r="F542" s="276"/>
      <c r="G542" s="276"/>
      <c r="K542" s="28"/>
      <c r="L542" s="251"/>
    </row>
    <row r="543" spans="1:12" ht="16.5" thickBot="1">
      <c r="A543" s="30" t="s">
        <v>58</v>
      </c>
      <c r="C543" s="381" t="s">
        <v>59</v>
      </c>
      <c r="D543" s="381"/>
      <c r="E543" s="381"/>
      <c r="F543" s="381"/>
      <c r="G543" s="381"/>
      <c r="H543" s="249"/>
    </row>
    <row r="545" spans="1:8" ht="16.5" thickBot="1">
      <c r="A545" s="275" t="s">
        <v>60</v>
      </c>
      <c r="B545" s="268">
        <f t="shared" ref="B545:G545" si="56">+B$28</f>
        <v>0</v>
      </c>
      <c r="C545" s="268">
        <f t="shared" si="56"/>
        <v>1</v>
      </c>
      <c r="D545" s="268">
        <f t="shared" si="56"/>
        <v>2</v>
      </c>
      <c r="E545" s="268">
        <f t="shared" si="56"/>
        <v>3</v>
      </c>
      <c r="F545" s="268">
        <f t="shared" si="56"/>
        <v>4</v>
      </c>
      <c r="G545" s="268">
        <f t="shared" si="56"/>
        <v>5</v>
      </c>
      <c r="H545" s="71"/>
    </row>
    <row r="548" spans="1:8">
      <c r="A548" s="258" t="s">
        <v>304</v>
      </c>
      <c r="B548" s="254">
        <f t="shared" ref="B548:G548" si="57">IF(+B524=0,0,+B503/B524)</f>
        <v>0</v>
      </c>
      <c r="C548" s="254">
        <f t="shared" si="57"/>
        <v>0</v>
      </c>
      <c r="D548" s="254">
        <f t="shared" si="57"/>
        <v>0</v>
      </c>
      <c r="E548" s="254">
        <f t="shared" si="57"/>
        <v>0</v>
      </c>
      <c r="F548" s="254">
        <f t="shared" si="57"/>
        <v>0</v>
      </c>
      <c r="G548" s="254">
        <f t="shared" si="57"/>
        <v>0</v>
      </c>
      <c r="H548" s="254"/>
    </row>
    <row r="549" spans="1:8" s="30" customFormat="1" ht="15.75" hidden="1" outlineLevel="1">
      <c r="A549" s="29" t="str">
        <f>+MID(A548,4,60)</f>
        <v>Razón corriente o circulante (# veces)</v>
      </c>
      <c r="B549" s="26"/>
      <c r="C549" s="249"/>
      <c r="D549" s="249"/>
      <c r="E549" s="26"/>
      <c r="F549" s="259" t="s">
        <v>255</v>
      </c>
    </row>
    <row r="550" spans="1:8" s="30" customFormat="1" ht="15.75" hidden="1" outlineLevel="1">
      <c r="A550" s="29"/>
      <c r="B550" s="26"/>
      <c r="C550" s="249"/>
      <c r="D550" s="249"/>
      <c r="E550" s="26"/>
    </row>
    <row r="551" spans="1:8" collapsed="1">
      <c r="A551" s="258" t="s">
        <v>302</v>
      </c>
      <c r="B551" s="254">
        <f t="shared" ref="B551:G551" si="58">IF(+B524=0,0,+(B503-B499-B500-B501)/B524)</f>
        <v>0</v>
      </c>
      <c r="C551" s="254">
        <f t="shared" si="58"/>
        <v>0</v>
      </c>
      <c r="D551" s="254">
        <f t="shared" si="58"/>
        <v>0</v>
      </c>
      <c r="E551" s="254">
        <f t="shared" si="58"/>
        <v>0</v>
      </c>
      <c r="F551" s="254">
        <f t="shared" si="58"/>
        <v>0</v>
      </c>
      <c r="G551" s="254">
        <f t="shared" si="58"/>
        <v>0</v>
      </c>
      <c r="H551" s="254"/>
    </row>
    <row r="552" spans="1:8" ht="15.75" hidden="1" outlineLevel="1">
      <c r="A552" s="29" t="str">
        <f>+MID(A551,4,60)</f>
        <v>Prueba ácida o razón ácida (# veces)</v>
      </c>
      <c r="C552" s="249"/>
      <c r="D552" s="249"/>
      <c r="E552" s="26" t="s">
        <v>125</v>
      </c>
      <c r="F552" s="259" t="s">
        <v>255</v>
      </c>
      <c r="H552" s="30"/>
    </row>
    <row r="553" spans="1:8" ht="15.75" hidden="1" outlineLevel="1">
      <c r="A553" s="29"/>
      <c r="C553" s="249"/>
      <c r="D553" s="249"/>
      <c r="E553" s="26" t="s">
        <v>125</v>
      </c>
      <c r="F553" s="30"/>
      <c r="H553" s="30"/>
    </row>
    <row r="554" spans="1:8" collapsed="1">
      <c r="A554" s="258" t="s">
        <v>303</v>
      </c>
      <c r="B554" s="254">
        <f t="shared" ref="B554:G554" si="59">IF(+B525=0,0,+B514/B525)</f>
        <v>0</v>
      </c>
      <c r="C554" s="254">
        <f t="shared" si="59"/>
        <v>0</v>
      </c>
      <c r="D554" s="254">
        <f t="shared" si="59"/>
        <v>0</v>
      </c>
      <c r="E554" s="254">
        <f t="shared" si="59"/>
        <v>0</v>
      </c>
      <c r="F554" s="254">
        <f t="shared" si="59"/>
        <v>0</v>
      </c>
      <c r="G554" s="254">
        <f t="shared" si="59"/>
        <v>0</v>
      </c>
      <c r="H554" s="254"/>
    </row>
    <row r="555" spans="1:8" ht="15.75" hidden="1" outlineLevel="1">
      <c r="A555" s="29" t="str">
        <f>+MID(A554,4,60)</f>
        <v>Respaldo de activos fijos (# veces)</v>
      </c>
      <c r="C555" s="249"/>
      <c r="D555" s="249"/>
      <c r="F555" s="259" t="s">
        <v>255</v>
      </c>
      <c r="H555" s="30"/>
    </row>
    <row r="556" spans="1:8" ht="15.75" hidden="1" outlineLevel="1">
      <c r="A556" s="29"/>
      <c r="C556" s="249"/>
      <c r="D556" s="249"/>
      <c r="F556" s="30"/>
      <c r="H556" s="30"/>
    </row>
    <row r="557" spans="1:8" ht="15.75" collapsed="1" thickBot="1">
      <c r="A557" s="273" t="s">
        <v>236</v>
      </c>
      <c r="B557" s="274">
        <f t="shared" ref="B557:G557" si="60">B503-B524</f>
        <v>0</v>
      </c>
      <c r="C557" s="274">
        <f t="shared" si="60"/>
        <v>282424588.37333328</v>
      </c>
      <c r="D557" s="274">
        <f t="shared" si="60"/>
        <v>372204283.26726305</v>
      </c>
      <c r="E557" s="274">
        <f t="shared" si="60"/>
        <v>462369035.99446559</v>
      </c>
      <c r="F557" s="274">
        <f t="shared" si="60"/>
        <v>552920579.31519055</v>
      </c>
      <c r="G557" s="274">
        <f t="shared" si="60"/>
        <v>643860653.78710902</v>
      </c>
      <c r="H557" s="254"/>
    </row>
    <row r="558" spans="1:8" ht="15.75" hidden="1" outlineLevel="1">
      <c r="A558" s="29" t="str">
        <f>+MID(A557,4,60)</f>
        <v>Capital de trabajo neto (unidades monetarias)</v>
      </c>
      <c r="C558" s="249"/>
      <c r="D558" s="249"/>
      <c r="F558" s="259" t="s">
        <v>255</v>
      </c>
      <c r="H558" s="30"/>
    </row>
    <row r="559" spans="1:8" ht="15.75" hidden="1" outlineLevel="1">
      <c r="A559" s="29"/>
    </row>
    <row r="560" spans="1:8" outlineLevel="1">
      <c r="A560" s="26" t="s">
        <v>539</v>
      </c>
    </row>
    <row r="561" spans="1:8" ht="15.75" outlineLevel="1">
      <c r="A561" s="29"/>
    </row>
    <row r="562" spans="1:8" ht="15.75" outlineLevel="1">
      <c r="A562" s="29"/>
    </row>
    <row r="563" spans="1:8" ht="15.75" outlineLevel="1">
      <c r="A563" s="29"/>
    </row>
    <row r="564" spans="1:8" ht="15.75" outlineLevel="1">
      <c r="A564" s="29"/>
    </row>
    <row r="565" spans="1:8" ht="15.75" outlineLevel="1">
      <c r="A565" s="379" t="s">
        <v>253</v>
      </c>
      <c r="B565" s="379"/>
      <c r="C565" s="379"/>
      <c r="D565" s="379"/>
      <c r="E565" s="379"/>
      <c r="F565" s="379"/>
      <c r="G565" s="379"/>
    </row>
    <row r="566" spans="1:8" ht="15.75" outlineLevel="1">
      <c r="A566" s="379" t="s">
        <v>292</v>
      </c>
      <c r="B566" s="379"/>
      <c r="C566" s="379"/>
      <c r="D566" s="379"/>
      <c r="E566" s="379"/>
      <c r="F566" s="379"/>
      <c r="G566" s="379"/>
    </row>
    <row r="567" spans="1:8" ht="15.75">
      <c r="A567" s="379" t="s">
        <v>541</v>
      </c>
      <c r="B567" s="379"/>
      <c r="C567" s="379"/>
      <c r="D567" s="379"/>
      <c r="E567" s="379"/>
      <c r="F567" s="379"/>
      <c r="G567" s="379"/>
    </row>
    <row r="568" spans="1:8" ht="15.75">
      <c r="A568" s="71"/>
      <c r="B568" s="71"/>
      <c r="C568" s="71"/>
      <c r="D568" s="71"/>
      <c r="E568" s="71"/>
      <c r="F568" s="71"/>
      <c r="G568" s="71"/>
    </row>
    <row r="569" spans="1:8" ht="16.5" thickBot="1">
      <c r="A569" s="276"/>
      <c r="B569" s="270" t="s">
        <v>262</v>
      </c>
      <c r="C569" s="276"/>
      <c r="D569" s="276"/>
      <c r="E569" s="276"/>
      <c r="F569" s="276"/>
      <c r="G569" s="276"/>
    </row>
    <row r="570" spans="1:8" ht="16.5" thickBot="1">
      <c r="A570" s="30" t="s">
        <v>58</v>
      </c>
      <c r="C570" s="267" t="s">
        <v>59</v>
      </c>
      <c r="D570" s="267"/>
      <c r="E570" s="267"/>
      <c r="F570" s="267"/>
      <c r="G570" s="267"/>
    </row>
    <row r="572" spans="1:8" ht="15.75" customHeight="1" thickBot="1">
      <c r="A572" s="275" t="s">
        <v>60</v>
      </c>
      <c r="B572" s="277">
        <f t="shared" ref="B572:G572" si="61">+B$28</f>
        <v>0</v>
      </c>
      <c r="C572" s="277">
        <f t="shared" si="61"/>
        <v>1</v>
      </c>
      <c r="D572" s="277">
        <f t="shared" si="61"/>
        <v>2</v>
      </c>
      <c r="E572" s="277">
        <f t="shared" si="61"/>
        <v>3</v>
      </c>
      <c r="F572" s="277">
        <f t="shared" si="61"/>
        <v>4</v>
      </c>
      <c r="G572" s="277">
        <f t="shared" si="61"/>
        <v>5</v>
      </c>
    </row>
    <row r="574" spans="1:8">
      <c r="A574" s="258" t="s">
        <v>237</v>
      </c>
      <c r="B574" s="254"/>
      <c r="C574" s="254">
        <f>+IF(AVERAGE(C499:C501)=0,0,C86/AVERAGE(C499:C501))</f>
        <v>36</v>
      </c>
      <c r="D574" s="254">
        <f>+IF(AVERAGE(D499:D501)=0,0,D86/AVERAGE(D499:D501))</f>
        <v>36</v>
      </c>
      <c r="E574" s="254">
        <f>+IF(AVERAGE(E499:E501)=0,0,E86/AVERAGE(E499:E501))</f>
        <v>36</v>
      </c>
      <c r="F574" s="254">
        <f>+IF(AVERAGE(F499:F501)=0,0,F86/AVERAGE(F499:F501))</f>
        <v>36</v>
      </c>
      <c r="G574" s="254">
        <f>+IF(AVERAGE(G499:G501)=0,0,G86/AVERAGE(G499:G501))</f>
        <v>36</v>
      </c>
      <c r="H574" s="254"/>
    </row>
    <row r="575" spans="1:8" ht="15.75" hidden="1" outlineLevel="1">
      <c r="A575" s="29" t="str">
        <f>+MID(A574,4,60)</f>
        <v>Rotación de inventarios</v>
      </c>
      <c r="C575" s="249"/>
      <c r="D575" s="249"/>
      <c r="F575" s="259" t="s">
        <v>255</v>
      </c>
      <c r="H575" s="30"/>
    </row>
    <row r="576" spans="1:8" ht="15.75" hidden="1" outlineLevel="1">
      <c r="A576" s="258"/>
      <c r="C576" s="249"/>
      <c r="D576" s="249"/>
      <c r="F576" s="30"/>
      <c r="H576" s="30"/>
    </row>
    <row r="577" spans="1:8" collapsed="1">
      <c r="A577" s="260" t="s">
        <v>293</v>
      </c>
      <c r="B577" s="254">
        <f t="shared" ref="B577:G577" si="62">IF(B86=0,0,(360*AVERAGE(B499:B501)/B86))</f>
        <v>0</v>
      </c>
      <c r="C577" s="254">
        <f t="shared" si="62"/>
        <v>10</v>
      </c>
      <c r="D577" s="254">
        <f t="shared" si="62"/>
        <v>10</v>
      </c>
      <c r="E577" s="254">
        <f t="shared" si="62"/>
        <v>10</v>
      </c>
      <c r="F577" s="254">
        <f t="shared" si="62"/>
        <v>10</v>
      </c>
      <c r="G577" s="254">
        <f t="shared" si="62"/>
        <v>10</v>
      </c>
      <c r="H577" s="254"/>
    </row>
    <row r="578" spans="1:8" ht="15.75" hidden="1" outlineLevel="1">
      <c r="A578" s="29" t="str">
        <f>+MID(A577,4,60)</f>
        <v>Disponibilidad de inventario de materia prima ( # veces)</v>
      </c>
      <c r="C578" s="249"/>
      <c r="D578" s="249"/>
      <c r="F578" s="259" t="s">
        <v>255</v>
      </c>
      <c r="H578" s="30"/>
    </row>
    <row r="579" spans="1:8" ht="15.75" hidden="1" outlineLevel="1">
      <c r="A579" s="29"/>
      <c r="C579" s="249"/>
      <c r="D579" s="249"/>
      <c r="F579" s="30"/>
      <c r="H579" s="30"/>
    </row>
    <row r="580" spans="1:8" collapsed="1">
      <c r="A580" s="260" t="s">
        <v>294</v>
      </c>
      <c r="B580" s="254">
        <f t="shared" ref="B580:G580" si="63">IF(B501=0,0,+B324/B501)</f>
        <v>0</v>
      </c>
      <c r="C580" s="254">
        <f t="shared" si="63"/>
        <v>0</v>
      </c>
      <c r="D580" s="254">
        <f t="shared" si="63"/>
        <v>0</v>
      </c>
      <c r="E580" s="254">
        <f t="shared" si="63"/>
        <v>0</v>
      </c>
      <c r="F580" s="254">
        <f t="shared" si="63"/>
        <v>0</v>
      </c>
      <c r="G580" s="254">
        <f t="shared" si="63"/>
        <v>0</v>
      </c>
      <c r="H580" s="254"/>
    </row>
    <row r="581" spans="1:8" ht="15.75" hidden="1" outlineLevel="1">
      <c r="A581" s="29" t="str">
        <f>+MID(A580,4,60)</f>
        <v>Rotación de inventario productos terminados ( # veces)</v>
      </c>
      <c r="C581" s="249"/>
      <c r="D581" s="249"/>
      <c r="F581" s="259" t="s">
        <v>255</v>
      </c>
      <c r="H581" s="30"/>
    </row>
    <row r="582" spans="1:8" ht="15.75" hidden="1" outlineLevel="1">
      <c r="A582" s="29"/>
      <c r="C582" s="249"/>
      <c r="D582" s="249"/>
      <c r="F582" s="30"/>
      <c r="H582" s="30"/>
    </row>
    <row r="583" spans="1:8" collapsed="1">
      <c r="A583" s="260" t="s">
        <v>295</v>
      </c>
      <c r="B583" s="254">
        <f>IF(B324=0,0,+B501/B324)</f>
        <v>0</v>
      </c>
      <c r="C583" s="254">
        <f>IF(C324=0,0,360*C501/C324)</f>
        <v>0</v>
      </c>
      <c r="D583" s="254">
        <f>IF(D324=0,0,360*D501/D324)</f>
        <v>0</v>
      </c>
      <c r="E583" s="254">
        <f>IF(E324=0,0,360*E501/E324)</f>
        <v>0</v>
      </c>
      <c r="F583" s="254">
        <f>IF(F324=0,0,360*F501/F324)</f>
        <v>0</v>
      </c>
      <c r="G583" s="254">
        <f>IF(G324=0,0,360*G501/G324)</f>
        <v>0</v>
      </c>
      <c r="H583" s="254"/>
    </row>
    <row r="584" spans="1:8" ht="15.75" hidden="1" outlineLevel="1">
      <c r="A584" s="29" t="str">
        <f>+MID(A583,4,60)</f>
        <v>Disponibilidad de inventario de productos terminados(# veces</v>
      </c>
      <c r="C584" s="249"/>
      <c r="D584" s="249"/>
      <c r="F584" s="259" t="s">
        <v>255</v>
      </c>
      <c r="H584" s="30"/>
    </row>
    <row r="585" spans="1:8" ht="15.75" hidden="1" outlineLevel="1">
      <c r="A585" s="29"/>
      <c r="C585" s="249"/>
      <c r="D585" s="249"/>
      <c r="F585" s="30"/>
      <c r="H585" s="30"/>
    </row>
    <row r="586" spans="1:8" collapsed="1">
      <c r="A586" s="260" t="s">
        <v>296</v>
      </c>
      <c r="B586" s="254">
        <f t="shared" ref="B586:G586" si="64">+IF(B498=0,0,B323/B498)</f>
        <v>0</v>
      </c>
      <c r="C586" s="254">
        <f t="shared" si="64"/>
        <v>0</v>
      </c>
      <c r="D586" s="254">
        <f t="shared" si="64"/>
        <v>0</v>
      </c>
      <c r="E586" s="254">
        <f t="shared" si="64"/>
        <v>0</v>
      </c>
      <c r="F586" s="254">
        <f t="shared" si="64"/>
        <v>0</v>
      </c>
      <c r="G586" s="254">
        <f t="shared" si="64"/>
        <v>0</v>
      </c>
      <c r="H586" s="254"/>
    </row>
    <row r="587" spans="1:8" ht="15.75" hidden="1" outlineLevel="1">
      <c r="A587" s="29" t="str">
        <f>+MID(A586,4,60)</f>
        <v>Rotación de Cartera (# veces)</v>
      </c>
      <c r="C587" s="249"/>
      <c r="D587" s="249"/>
      <c r="F587" s="259" t="s">
        <v>255</v>
      </c>
      <c r="H587" s="30"/>
    </row>
    <row r="588" spans="1:8" ht="15.75" hidden="1" outlineLevel="1">
      <c r="A588" s="29"/>
      <c r="C588" s="249"/>
      <c r="D588" s="249"/>
      <c r="F588" s="30"/>
      <c r="H588" s="30"/>
    </row>
    <row r="589" spans="1:8" collapsed="1">
      <c r="A589" s="261" t="s">
        <v>238</v>
      </c>
      <c r="B589" s="254">
        <f t="shared" ref="B589:G589" si="65">+IF(B323=0,0,360*B498/B323)</f>
        <v>0</v>
      </c>
      <c r="C589" s="254">
        <f t="shared" si="65"/>
        <v>0</v>
      </c>
      <c r="D589" s="254">
        <f t="shared" si="65"/>
        <v>0</v>
      </c>
      <c r="E589" s="254">
        <f t="shared" si="65"/>
        <v>0</v>
      </c>
      <c r="F589" s="254">
        <f t="shared" si="65"/>
        <v>0</v>
      </c>
      <c r="G589" s="254">
        <f t="shared" si="65"/>
        <v>0</v>
      </c>
      <c r="H589" s="254"/>
    </row>
    <row r="590" spans="1:8" ht="15.75" hidden="1" outlineLevel="1">
      <c r="A590" s="29" t="str">
        <f>+MID(A589,4,60)</f>
        <v>Período promedio de cobro (días)</v>
      </c>
      <c r="C590" s="249"/>
      <c r="D590" s="249"/>
      <c r="F590" s="259" t="s">
        <v>255</v>
      </c>
      <c r="H590" s="30"/>
    </row>
    <row r="591" spans="1:8" ht="15.75" hidden="1" outlineLevel="1">
      <c r="A591" s="29"/>
      <c r="C591" s="249"/>
      <c r="D591" s="249"/>
      <c r="F591" s="30"/>
      <c r="H591" s="30"/>
    </row>
    <row r="592" spans="1:8" collapsed="1">
      <c r="A592" s="262" t="s">
        <v>254</v>
      </c>
      <c r="B592" s="254"/>
      <c r="C592" s="254"/>
      <c r="D592" s="254"/>
      <c r="E592" s="254"/>
      <c r="F592" s="254"/>
      <c r="G592" s="254"/>
      <c r="H592" s="254"/>
    </row>
    <row r="593" spans="1:8" ht="15.75" hidden="1" outlineLevel="1">
      <c r="A593" s="29" t="str">
        <f>+MID(A592,4,60)</f>
        <v>Rotación de activo corriente o circulante (# Veces)</v>
      </c>
      <c r="C593" s="249"/>
      <c r="D593" s="249"/>
      <c r="F593" s="259" t="s">
        <v>255</v>
      </c>
      <c r="H593" s="30"/>
    </row>
    <row r="594" spans="1:8" ht="15.75" hidden="1" outlineLevel="1">
      <c r="A594" s="29"/>
      <c r="C594" s="249"/>
      <c r="D594" s="249"/>
      <c r="F594" s="30"/>
      <c r="H594" s="30"/>
    </row>
    <row r="595" spans="1:8" collapsed="1">
      <c r="A595" s="260" t="s">
        <v>297</v>
      </c>
      <c r="B595" s="254">
        <f t="shared" ref="B595:G595" si="66">+IF(B524=0,0,B86/B524)</f>
        <v>0</v>
      </c>
      <c r="C595" s="254">
        <f t="shared" si="66"/>
        <v>0</v>
      </c>
      <c r="D595" s="254">
        <f t="shared" si="66"/>
        <v>0</v>
      </c>
      <c r="E595" s="254">
        <f t="shared" si="66"/>
        <v>0</v>
      </c>
      <c r="F595" s="254">
        <f t="shared" si="66"/>
        <v>0</v>
      </c>
      <c r="G595" s="254">
        <f t="shared" si="66"/>
        <v>0</v>
      </c>
      <c r="H595" s="254"/>
    </row>
    <row r="596" spans="1:8" ht="15.75" hidden="1" outlineLevel="1">
      <c r="A596" s="29" t="str">
        <f>+MID(A595,4,60)</f>
        <v>Rotación de cuentas por pagar (# veces)</v>
      </c>
      <c r="C596" s="249"/>
      <c r="D596" s="249"/>
      <c r="F596" s="259" t="s">
        <v>255</v>
      </c>
      <c r="H596" s="30"/>
    </row>
    <row r="597" spans="1:8" ht="15.75" hidden="1" outlineLevel="1">
      <c r="A597" s="29"/>
      <c r="C597" s="249"/>
      <c r="D597" s="249"/>
      <c r="F597" s="30"/>
      <c r="H597" s="30"/>
    </row>
    <row r="598" spans="1:8" collapsed="1">
      <c r="A598" s="260" t="s">
        <v>256</v>
      </c>
      <c r="B598" s="254">
        <f t="shared" ref="B598:G598" si="67">+IF(B86=0,0,360*B524/B86)</f>
        <v>0</v>
      </c>
      <c r="C598" s="254">
        <f t="shared" si="67"/>
        <v>0</v>
      </c>
      <c r="D598" s="254">
        <f t="shared" si="67"/>
        <v>0</v>
      </c>
      <c r="E598" s="254">
        <f t="shared" si="67"/>
        <v>0</v>
      </c>
      <c r="F598" s="254">
        <f t="shared" si="67"/>
        <v>0</v>
      </c>
      <c r="G598" s="254">
        <f t="shared" si="67"/>
        <v>0</v>
      </c>
      <c r="H598" s="254"/>
    </row>
    <row r="599" spans="1:8" ht="15.75" hidden="1" outlineLevel="1">
      <c r="A599" s="29" t="str">
        <f>+MID(A598,4,60)</f>
        <v>Período promedio de cuentas por pagar (días)</v>
      </c>
      <c r="C599" s="249"/>
      <c r="D599" s="249"/>
      <c r="F599" s="259" t="s">
        <v>255</v>
      </c>
      <c r="H599" s="30"/>
    </row>
    <row r="600" spans="1:8" ht="15.75" hidden="1" outlineLevel="1">
      <c r="A600" s="29"/>
      <c r="C600" s="249"/>
      <c r="D600" s="249"/>
      <c r="F600" s="30"/>
      <c r="H600" s="30"/>
    </row>
    <row r="601" spans="1:8" collapsed="1">
      <c r="A601" s="260" t="s">
        <v>298</v>
      </c>
      <c r="B601" s="254">
        <f t="shared" ref="B601:G601" si="68">+IF(B514=0,0,B323/B514)</f>
        <v>0</v>
      </c>
      <c r="C601" s="254">
        <f t="shared" si="68"/>
        <v>22.684219969941893</v>
      </c>
      <c r="D601" s="254">
        <f t="shared" si="68"/>
        <v>25.634586329782458</v>
      </c>
      <c r="E601" s="254">
        <f t="shared" si="68"/>
        <v>29.428505106590261</v>
      </c>
      <c r="F601" s="254">
        <f t="shared" si="68"/>
        <v>34.487755609498237</v>
      </c>
      <c r="G601" s="254">
        <f t="shared" si="68"/>
        <v>41.571540611689173</v>
      </c>
      <c r="H601" s="254"/>
    </row>
    <row r="602" spans="1:8" ht="15.75" hidden="1" outlineLevel="1">
      <c r="A602" s="29" t="str">
        <f>+MID(A601,4,60)</f>
        <v>Rotación del activo fijo(# veces)</v>
      </c>
      <c r="C602" s="249"/>
      <c r="D602" s="249"/>
      <c r="F602" s="259" t="s">
        <v>255</v>
      </c>
      <c r="H602" s="30"/>
    </row>
    <row r="603" spans="1:8" ht="15.75" hidden="1" outlineLevel="1">
      <c r="A603" s="261"/>
      <c r="C603" s="249"/>
      <c r="D603" s="249"/>
      <c r="F603" s="30"/>
      <c r="H603" s="30"/>
    </row>
    <row r="604" spans="1:8" ht="15.75" collapsed="1" thickBot="1">
      <c r="A604" s="278" t="s">
        <v>299</v>
      </c>
      <c r="B604" s="274">
        <f t="shared" ref="B604:G604" si="69">+IF(B519=0,0,B323/B519)</f>
        <v>0</v>
      </c>
      <c r="C604" s="274">
        <f t="shared" si="69"/>
        <v>6.2871424638672169</v>
      </c>
      <c r="D604" s="274">
        <f t="shared" si="69"/>
        <v>5.2673056061686054</v>
      </c>
      <c r="E604" s="274">
        <f t="shared" si="69"/>
        <v>4.5346900070987717</v>
      </c>
      <c r="F604" s="274">
        <f t="shared" si="69"/>
        <v>3.9829398616679144</v>
      </c>
      <c r="G604" s="274">
        <f t="shared" si="69"/>
        <v>3.5524403916575693</v>
      </c>
      <c r="H604" s="254"/>
    </row>
    <row r="605" spans="1:8" ht="15.75" hidden="1" outlineLevel="1">
      <c r="A605" s="29" t="str">
        <f>+MID(A604,4,60)</f>
        <v>Rotación del activo total (# veces)</v>
      </c>
      <c r="C605" s="249"/>
      <c r="D605" s="249"/>
      <c r="F605" s="259" t="s">
        <v>255</v>
      </c>
      <c r="H605" s="30"/>
    </row>
    <row r="606" spans="1:8" ht="15.75" hidden="1" outlineLevel="1">
      <c r="A606" s="261"/>
      <c r="C606" s="249"/>
      <c r="D606" s="249"/>
      <c r="F606" s="30"/>
      <c r="H606" s="30"/>
    </row>
    <row r="607" spans="1:8" collapsed="1">
      <c r="A607" s="26" t="s">
        <v>539</v>
      </c>
      <c r="B607" s="254"/>
      <c r="C607" s="254"/>
      <c r="D607" s="254"/>
      <c r="E607" s="254"/>
      <c r="F607" s="254"/>
      <c r="G607" s="254"/>
      <c r="H607" s="254"/>
    </row>
    <row r="608" spans="1:8">
      <c r="A608" s="261"/>
      <c r="B608" s="254"/>
      <c r="C608" s="254"/>
      <c r="D608" s="254"/>
      <c r="E608" s="254"/>
      <c r="F608" s="254"/>
      <c r="G608" s="254"/>
      <c r="H608" s="254"/>
    </row>
    <row r="609" spans="1:8">
      <c r="A609" s="261"/>
      <c r="B609" s="254"/>
      <c r="C609" s="254"/>
      <c r="D609" s="254"/>
      <c r="E609" s="254"/>
      <c r="F609" s="254"/>
      <c r="G609" s="254"/>
      <c r="H609" s="254"/>
    </row>
    <row r="610" spans="1:8">
      <c r="A610" s="261"/>
      <c r="B610" s="254"/>
      <c r="C610" s="254"/>
      <c r="D610" s="254"/>
      <c r="E610" s="254"/>
      <c r="F610" s="254"/>
      <c r="G610" s="254"/>
      <c r="H610" s="254"/>
    </row>
    <row r="611" spans="1:8">
      <c r="A611" s="261"/>
      <c r="B611" s="254"/>
      <c r="C611" s="254"/>
      <c r="D611" s="254"/>
      <c r="E611" s="254"/>
      <c r="F611" s="254"/>
      <c r="G611" s="254"/>
      <c r="H611" s="254"/>
    </row>
    <row r="612" spans="1:8">
      <c r="A612" s="261"/>
      <c r="B612" s="254"/>
      <c r="C612" s="254"/>
      <c r="D612" s="254"/>
      <c r="E612" s="254"/>
      <c r="F612" s="254"/>
      <c r="G612" s="254"/>
      <c r="H612" s="254"/>
    </row>
    <row r="613" spans="1:8">
      <c r="A613" s="261"/>
      <c r="B613" s="254"/>
      <c r="C613" s="254"/>
      <c r="D613" s="254"/>
      <c r="E613" s="254"/>
      <c r="F613" s="254"/>
      <c r="G613" s="254"/>
      <c r="H613" s="254"/>
    </row>
    <row r="614" spans="1:8" ht="15.75">
      <c r="A614" s="379" t="s">
        <v>253</v>
      </c>
      <c r="B614" s="379"/>
      <c r="C614" s="379"/>
      <c r="D614" s="379"/>
      <c r="E614" s="379"/>
      <c r="F614" s="379"/>
      <c r="G614" s="379"/>
      <c r="H614" s="254"/>
    </row>
    <row r="615" spans="1:8" ht="15.75">
      <c r="A615" s="379" t="s">
        <v>292</v>
      </c>
      <c r="B615" s="379"/>
      <c r="C615" s="379"/>
      <c r="D615" s="379"/>
      <c r="E615" s="379"/>
      <c r="F615" s="379"/>
      <c r="G615" s="379"/>
      <c r="H615" s="254"/>
    </row>
    <row r="616" spans="1:8" ht="15.75">
      <c r="A616" s="379" t="s">
        <v>542</v>
      </c>
      <c r="B616" s="379"/>
      <c r="C616" s="379"/>
      <c r="D616" s="379"/>
      <c r="E616" s="379"/>
      <c r="F616" s="379"/>
      <c r="G616" s="379"/>
      <c r="H616" s="254"/>
    </row>
    <row r="617" spans="1:8" ht="15.75">
      <c r="A617" s="71"/>
      <c r="B617" s="71"/>
      <c r="C617" s="71"/>
      <c r="D617" s="71"/>
      <c r="E617" s="71"/>
      <c r="F617" s="71"/>
      <c r="G617" s="71"/>
      <c r="H617" s="254"/>
    </row>
    <row r="618" spans="1:8" ht="16.5" thickBot="1">
      <c r="A618" s="276"/>
      <c r="B618" s="270" t="s">
        <v>262</v>
      </c>
      <c r="C618" s="276"/>
      <c r="D618" s="276"/>
      <c r="E618" s="276"/>
      <c r="F618" s="276"/>
      <c r="G618" s="276"/>
      <c r="H618" s="254"/>
    </row>
    <row r="619" spans="1:8" ht="16.5" thickBot="1">
      <c r="A619" s="30" t="s">
        <v>58</v>
      </c>
      <c r="C619" s="267" t="s">
        <v>59</v>
      </c>
      <c r="D619" s="267"/>
      <c r="E619" s="267"/>
      <c r="F619" s="267"/>
      <c r="G619" s="267"/>
      <c r="H619" s="254"/>
    </row>
    <row r="620" spans="1:8">
      <c r="H620" s="254"/>
    </row>
    <row r="621" spans="1:8" ht="16.5" thickBot="1">
      <c r="A621" s="275" t="s">
        <v>60</v>
      </c>
      <c r="B621" s="277">
        <f t="shared" ref="B621:G621" si="70">+B$28</f>
        <v>0</v>
      </c>
      <c r="C621" s="277">
        <f t="shared" si="70"/>
        <v>1</v>
      </c>
      <c r="D621" s="277">
        <f t="shared" si="70"/>
        <v>2</v>
      </c>
      <c r="E621" s="277">
        <f t="shared" si="70"/>
        <v>3</v>
      </c>
      <c r="F621" s="277">
        <f t="shared" si="70"/>
        <v>4</v>
      </c>
      <c r="G621" s="277">
        <f t="shared" si="70"/>
        <v>5</v>
      </c>
      <c r="H621" s="254"/>
    </row>
    <row r="622" spans="1:8">
      <c r="A622" s="261"/>
      <c r="B622" s="254"/>
      <c r="C622" s="254"/>
      <c r="D622" s="254"/>
      <c r="E622" s="254"/>
      <c r="F622" s="254"/>
      <c r="G622" s="254"/>
      <c r="H622" s="254"/>
    </row>
    <row r="623" spans="1:8">
      <c r="A623" s="258" t="s">
        <v>239</v>
      </c>
      <c r="B623" s="263">
        <f t="shared" ref="B623:G623" si="71">+IF(B519=0,0,B527/B519)</f>
        <v>0</v>
      </c>
      <c r="C623" s="263">
        <f t="shared" si="71"/>
        <v>0</v>
      </c>
      <c r="D623" s="263">
        <f t="shared" si="71"/>
        <v>0</v>
      </c>
      <c r="E623" s="263">
        <f t="shared" si="71"/>
        <v>0</v>
      </c>
      <c r="F623" s="263">
        <f t="shared" si="71"/>
        <v>0</v>
      </c>
      <c r="G623" s="263">
        <f t="shared" si="71"/>
        <v>0</v>
      </c>
      <c r="H623" s="263"/>
    </row>
    <row r="624" spans="1:8" ht="15.75" hidden="1" outlineLevel="1">
      <c r="A624" s="29" t="str">
        <f>+MID(A623,4,60)</f>
        <v>Indice de endeudamiento total(%)</v>
      </c>
      <c r="C624" s="249"/>
      <c r="D624" s="249"/>
      <c r="F624" s="259" t="s">
        <v>255</v>
      </c>
      <c r="H624" s="30"/>
    </row>
    <row r="625" spans="1:8" ht="15.75" hidden="1" outlineLevel="1">
      <c r="A625" s="258"/>
      <c r="C625" s="249"/>
      <c r="D625" s="249"/>
      <c r="F625" s="30"/>
      <c r="H625" s="30"/>
    </row>
    <row r="626" spans="1:8" collapsed="1">
      <c r="A626" s="258" t="s">
        <v>240</v>
      </c>
      <c r="B626" s="263">
        <f t="shared" ref="B626:G626" si="72">+IF(B519=0,0,B524/B519)</f>
        <v>0</v>
      </c>
      <c r="C626" s="263">
        <f t="shared" si="72"/>
        <v>0</v>
      </c>
      <c r="D626" s="263">
        <f t="shared" si="72"/>
        <v>0</v>
      </c>
      <c r="E626" s="263">
        <f t="shared" si="72"/>
        <v>0</v>
      </c>
      <c r="F626" s="263">
        <f t="shared" si="72"/>
        <v>0</v>
      </c>
      <c r="G626" s="263">
        <f t="shared" si="72"/>
        <v>0</v>
      </c>
      <c r="H626" s="263"/>
    </row>
    <row r="627" spans="1:8" ht="15.75" hidden="1" outlineLevel="1">
      <c r="A627" s="29" t="str">
        <f>+MID(A626,4,60)</f>
        <v>Indice de endeudamiento a corto plazo(%)</v>
      </c>
      <c r="C627" s="249"/>
      <c r="D627" s="249"/>
      <c r="F627" s="259" t="s">
        <v>255</v>
      </c>
      <c r="H627" s="30"/>
    </row>
    <row r="628" spans="1:8" ht="15.75" hidden="1" outlineLevel="1">
      <c r="A628" s="258"/>
      <c r="C628" s="249"/>
      <c r="D628" s="249"/>
      <c r="F628" s="30"/>
      <c r="H628" s="30"/>
    </row>
    <row r="629" spans="1:8" collapsed="1">
      <c r="A629" s="258" t="s">
        <v>241</v>
      </c>
      <c r="B629" s="263">
        <f t="shared" ref="B629:G629" si="73">+IF(B519=0,0,B525/B519)</f>
        <v>0</v>
      </c>
      <c r="C629" s="263">
        <f t="shared" si="73"/>
        <v>0</v>
      </c>
      <c r="D629" s="263">
        <f t="shared" si="73"/>
        <v>0</v>
      </c>
      <c r="E629" s="263">
        <f t="shared" si="73"/>
        <v>0</v>
      </c>
      <c r="F629" s="263">
        <f t="shared" si="73"/>
        <v>0</v>
      </c>
      <c r="G629" s="263">
        <f t="shared" si="73"/>
        <v>0</v>
      </c>
      <c r="H629" s="263"/>
    </row>
    <row r="630" spans="1:8" ht="15.75" hidden="1" outlineLevel="1">
      <c r="A630" s="29" t="str">
        <f>+MID(A629,4,60)</f>
        <v>Indice de endeudamiento a largo plazo(%)</v>
      </c>
      <c r="C630" s="249"/>
      <c r="D630" s="249"/>
      <c r="F630" s="259" t="s">
        <v>255</v>
      </c>
      <c r="H630" s="30"/>
    </row>
    <row r="631" spans="1:8" ht="15.75" hidden="1" outlineLevel="1">
      <c r="A631" s="258"/>
      <c r="C631" s="249"/>
      <c r="D631" s="249"/>
      <c r="F631" s="30"/>
      <c r="H631" s="30"/>
    </row>
    <row r="632" spans="1:8" collapsed="1">
      <c r="A632" s="252" t="s">
        <v>300</v>
      </c>
      <c r="B632" s="254">
        <f>+IF(B334=0,0,(B337+B334)/B334)</f>
        <v>0</v>
      </c>
      <c r="C632" s="254">
        <f>+IF(C334=0,0,(C337+C334)/C334)-1</f>
        <v>-1</v>
      </c>
      <c r="D632" s="254">
        <f>+IF(D334=0,0,(D337+D334)/D334)-1</f>
        <v>-1</v>
      </c>
      <c r="E632" s="254">
        <f>+IF(E334=0,0,(E337+E334)/E334)-1</f>
        <v>-1</v>
      </c>
      <c r="F632" s="254">
        <f>+IF(F334=0,0,(F337+F334)/F334)-1</f>
        <v>-1</v>
      </c>
      <c r="G632" s="254">
        <f>+IF(G334=0,0,(G337+G334)/G334)-1</f>
        <v>-1</v>
      </c>
      <c r="H632" s="254"/>
    </row>
    <row r="633" spans="1:8" ht="15.75" hidden="1" outlineLevel="1">
      <c r="A633" s="29" t="str">
        <f>+MID(A632,4,60)</f>
        <v>Indice de cobertura de intereses (# veces)</v>
      </c>
      <c r="C633" s="249"/>
      <c r="D633" s="249"/>
      <c r="F633" s="259" t="s">
        <v>255</v>
      </c>
      <c r="H633" s="30"/>
    </row>
    <row r="634" spans="1:8" ht="15.75" hidden="1" outlineLevel="1">
      <c r="A634" s="258"/>
      <c r="C634" s="249"/>
      <c r="D634" s="249"/>
      <c r="F634" s="30"/>
      <c r="H634" s="30"/>
    </row>
    <row r="635" spans="1:8" collapsed="1">
      <c r="A635" s="258" t="s">
        <v>242</v>
      </c>
      <c r="B635" s="263">
        <f t="shared" ref="B635:G635" si="74">+B533/B519</f>
        <v>1</v>
      </c>
      <c r="C635" s="263">
        <f t="shared" si="74"/>
        <v>0.99999999999999989</v>
      </c>
      <c r="D635" s="263">
        <f t="shared" si="74"/>
        <v>1.0000000000000004</v>
      </c>
      <c r="E635" s="263">
        <f t="shared" si="74"/>
        <v>1.0000000000000004</v>
      </c>
      <c r="F635" s="263">
        <f t="shared" si="74"/>
        <v>1.0000000000000007</v>
      </c>
      <c r="G635" s="263">
        <f t="shared" si="74"/>
        <v>0.99874383431091529</v>
      </c>
      <c r="H635" s="263"/>
    </row>
    <row r="636" spans="1:8" ht="15.75" hidden="1" outlineLevel="1">
      <c r="A636" s="29" t="str">
        <f>+MID(A635,4,60)</f>
        <v>Indice de participación patrimonial(%)</v>
      </c>
      <c r="C636" s="249"/>
      <c r="D636" s="249"/>
      <c r="F636" s="259" t="s">
        <v>255</v>
      </c>
      <c r="H636" s="30"/>
    </row>
    <row r="637" spans="1:8" ht="15.75" hidden="1" outlineLevel="1">
      <c r="A637" s="258"/>
      <c r="C637" s="249"/>
      <c r="D637" s="249"/>
      <c r="F637" s="30"/>
      <c r="H637" s="30"/>
    </row>
    <row r="638" spans="1:8" collapsed="1">
      <c r="A638" s="258" t="s">
        <v>243</v>
      </c>
      <c r="B638" s="263">
        <f t="shared" ref="B638:G638" si="75">+B525/B533</f>
        <v>0</v>
      </c>
      <c r="C638" s="263">
        <f t="shared" si="75"/>
        <v>0</v>
      </c>
      <c r="D638" s="263">
        <f t="shared" si="75"/>
        <v>0</v>
      </c>
      <c r="E638" s="263">
        <f t="shared" si="75"/>
        <v>0</v>
      </c>
      <c r="F638" s="263">
        <f t="shared" si="75"/>
        <v>0</v>
      </c>
      <c r="G638" s="263">
        <f t="shared" si="75"/>
        <v>0</v>
      </c>
      <c r="H638" s="263"/>
    </row>
    <row r="639" spans="1:8" ht="15.75" hidden="1" outlineLevel="1">
      <c r="A639" s="29" t="str">
        <f>+MID(A638,4,60)</f>
        <v>Razón deuda a largo plazo a capital</v>
      </c>
      <c r="C639" s="249"/>
      <c r="D639" s="249"/>
      <c r="F639" s="259" t="s">
        <v>255</v>
      </c>
      <c r="H639" s="30"/>
    </row>
    <row r="640" spans="1:8" ht="15.75" hidden="1" outlineLevel="1">
      <c r="A640" s="258"/>
      <c r="C640" s="249"/>
      <c r="D640" s="249"/>
      <c r="F640" s="30"/>
      <c r="H640" s="30"/>
    </row>
    <row r="641" spans="1:8" ht="15.75" collapsed="1">
      <c r="A641" s="29"/>
      <c r="B641" s="254"/>
      <c r="C641" s="254"/>
      <c r="D641" s="254"/>
      <c r="E641" s="254"/>
      <c r="F641" s="254"/>
      <c r="G641" s="254"/>
      <c r="H641" s="254"/>
    </row>
    <row r="642" spans="1:8">
      <c r="A642" s="258"/>
      <c r="B642" s="254"/>
      <c r="C642" s="254"/>
      <c r="D642" s="254"/>
      <c r="E642" s="254"/>
      <c r="F642" s="254"/>
      <c r="G642" s="254"/>
      <c r="H642" s="254"/>
    </row>
    <row r="643" spans="1:8" ht="15.75">
      <c r="A643" s="29" t="s">
        <v>244</v>
      </c>
      <c r="B643" s="254"/>
      <c r="C643" s="254"/>
      <c r="D643" s="254"/>
      <c r="E643" s="254"/>
      <c r="F643" s="254"/>
      <c r="G643" s="254"/>
      <c r="H643" s="254"/>
    </row>
    <row r="644" spans="1:8">
      <c r="A644" s="252" t="s">
        <v>257</v>
      </c>
      <c r="B644" s="263">
        <f t="shared" ref="B644:G644" si="76">IF(B323=0,0,+B324/B323)</f>
        <v>0</v>
      </c>
      <c r="C644" s="263">
        <f t="shared" si="76"/>
        <v>0.93907730954824498</v>
      </c>
      <c r="D644" s="263">
        <f t="shared" si="76"/>
        <v>0.93905536653762778</v>
      </c>
      <c r="E644" s="263">
        <f t="shared" si="76"/>
        <v>0.9390335218282031</v>
      </c>
      <c r="F644" s="263">
        <f t="shared" si="76"/>
        <v>0.9390117749795972</v>
      </c>
      <c r="G644" s="263">
        <f t="shared" si="76"/>
        <v>0.93899012555340877</v>
      </c>
      <c r="H644" s="263"/>
    </row>
    <row r="645" spans="1:8" ht="15.75" hidden="1" outlineLevel="1">
      <c r="A645" s="29" t="str">
        <f>+MID(A644,4,60)</f>
        <v xml:space="preserve"> Indice de costos de ventas(%)</v>
      </c>
      <c r="C645" s="249"/>
      <c r="D645" s="249"/>
      <c r="F645" s="259" t="s">
        <v>255</v>
      </c>
      <c r="H645" s="30"/>
    </row>
    <row r="646" spans="1:8" ht="15.75" hidden="1" outlineLevel="1">
      <c r="A646" s="258"/>
      <c r="C646" s="249"/>
      <c r="D646" s="249"/>
      <c r="F646" s="30"/>
      <c r="H646" s="30"/>
    </row>
    <row r="647" spans="1:8" collapsed="1">
      <c r="A647" s="258" t="s">
        <v>245</v>
      </c>
      <c r="B647" s="263">
        <f t="shared" ref="B647:G647" si="77">IF(B323=0,0,+B327/B323)</f>
        <v>0</v>
      </c>
      <c r="C647" s="263">
        <f t="shared" si="77"/>
        <v>1.3014558201719713E-2</v>
      </c>
      <c r="D647" s="263">
        <f t="shared" si="77"/>
        <v>1.3014558201719711E-2</v>
      </c>
      <c r="E647" s="263">
        <f t="shared" si="77"/>
        <v>1.3014558201719711E-2</v>
      </c>
      <c r="F647" s="263">
        <f t="shared" si="77"/>
        <v>1.3014558201719711E-2</v>
      </c>
      <c r="G647" s="263">
        <f t="shared" si="77"/>
        <v>1.3014558201719711E-2</v>
      </c>
      <c r="H647" s="263"/>
    </row>
    <row r="648" spans="1:8" ht="15.75" hidden="1" outlineLevel="1">
      <c r="A648" s="29" t="str">
        <f>+MID(A647,4,60)</f>
        <v>Indice de gastos operativos(%)</v>
      </c>
      <c r="C648" s="249"/>
      <c r="D648" s="249"/>
      <c r="F648" s="259" t="s">
        <v>255</v>
      </c>
      <c r="H648" s="30"/>
    </row>
    <row r="649" spans="1:8" ht="15.75" hidden="1" outlineLevel="1">
      <c r="A649" s="258"/>
      <c r="C649" s="249"/>
      <c r="D649" s="249"/>
      <c r="F649" s="30"/>
      <c r="H649" s="30"/>
    </row>
    <row r="650" spans="1:8" collapsed="1">
      <c r="A650" s="258" t="s">
        <v>246</v>
      </c>
      <c r="B650" s="263">
        <f t="shared" ref="B650:G650" si="78">IF(B323=0,0,+B334/B323)</f>
        <v>0</v>
      </c>
      <c r="C650" s="263">
        <f t="shared" si="78"/>
        <v>0</v>
      </c>
      <c r="D650" s="263">
        <f t="shared" si="78"/>
        <v>0</v>
      </c>
      <c r="E650" s="263">
        <f t="shared" si="78"/>
        <v>0</v>
      </c>
      <c r="F650" s="263">
        <f t="shared" si="78"/>
        <v>0</v>
      </c>
      <c r="G650" s="263">
        <f t="shared" si="78"/>
        <v>0</v>
      </c>
      <c r="H650" s="263"/>
    </row>
    <row r="651" spans="1:8" ht="15.75" hidden="1" outlineLevel="1">
      <c r="A651" s="29" t="str">
        <f>+MID(A650,4,60)</f>
        <v>Indice de costos financieros(%)</v>
      </c>
      <c r="C651" s="249"/>
      <c r="D651" s="249"/>
      <c r="F651" s="259" t="s">
        <v>255</v>
      </c>
      <c r="H651" s="30"/>
    </row>
    <row r="652" spans="1:8" ht="15.75" hidden="1" outlineLevel="1">
      <c r="A652" s="258"/>
      <c r="C652" s="249"/>
      <c r="D652" s="249"/>
      <c r="F652" s="30"/>
      <c r="H652" s="30"/>
    </row>
    <row r="653" spans="1:8" ht="15.75" collapsed="1">
      <c r="A653" s="29"/>
      <c r="B653" s="254"/>
      <c r="C653" s="254"/>
      <c r="D653" s="254"/>
      <c r="E653" s="254"/>
      <c r="F653" s="254"/>
      <c r="G653" s="254"/>
      <c r="H653" s="254"/>
    </row>
    <row r="654" spans="1:8">
      <c r="A654" s="258"/>
      <c r="B654" s="254"/>
      <c r="C654" s="254"/>
      <c r="D654" s="254"/>
      <c r="E654" s="254"/>
      <c r="F654" s="254"/>
      <c r="G654" s="254"/>
      <c r="H654" s="254"/>
    </row>
    <row r="655" spans="1:8" ht="15.75">
      <c r="A655" s="29" t="s">
        <v>247</v>
      </c>
      <c r="B655" s="254"/>
      <c r="C655" s="254"/>
      <c r="D655" s="254"/>
      <c r="E655" s="254"/>
      <c r="F655" s="254"/>
      <c r="G655" s="254"/>
      <c r="H655" s="254"/>
    </row>
    <row r="656" spans="1:8">
      <c r="A656" s="258" t="s">
        <v>248</v>
      </c>
      <c r="B656" s="263">
        <f t="shared" ref="B656:G656" si="79">IF(B323=0,0,+B326/B323)</f>
        <v>0</v>
      </c>
      <c r="C656" s="263">
        <f t="shared" si="79"/>
        <v>6.0922690451755024E-2</v>
      </c>
      <c r="D656" s="263">
        <f t="shared" si="79"/>
        <v>6.0944633462372194E-2</v>
      </c>
      <c r="E656" s="263">
        <f t="shared" si="79"/>
        <v>6.0966478171796894E-2</v>
      </c>
      <c r="F656" s="263">
        <f t="shared" si="79"/>
        <v>6.0988225020402846E-2</v>
      </c>
      <c r="G656" s="263">
        <f t="shared" si="79"/>
        <v>6.100987444659127E-2</v>
      </c>
      <c r="H656" s="263"/>
    </row>
    <row r="657" spans="1:8" ht="15.75" hidden="1" outlineLevel="1">
      <c r="A657" s="29" t="str">
        <f>+MID(A656,4,60)</f>
        <v>Indice de rendimiento bruto en ventas(%)</v>
      </c>
      <c r="C657" s="249"/>
      <c r="D657" s="249"/>
      <c r="F657" s="259" t="s">
        <v>255</v>
      </c>
      <c r="H657" s="30"/>
    </row>
    <row r="658" spans="1:8" ht="15.75" hidden="1" outlineLevel="1">
      <c r="A658" s="258"/>
      <c r="C658" s="249"/>
      <c r="D658" s="249"/>
      <c r="F658" s="30"/>
      <c r="H658" s="30"/>
    </row>
    <row r="659" spans="1:8" collapsed="1">
      <c r="A659" s="258" t="s">
        <v>249</v>
      </c>
      <c r="B659" s="263">
        <f t="shared" ref="B659:G659" si="80">IF(B323=0,0,+B330/B323)</f>
        <v>0</v>
      </c>
      <c r="C659" s="263">
        <f t="shared" si="80"/>
        <v>4.7908132250035311E-2</v>
      </c>
      <c r="D659" s="263">
        <f t="shared" si="80"/>
        <v>4.7930075260652481E-2</v>
      </c>
      <c r="E659" s="263">
        <f t="shared" si="80"/>
        <v>4.7951919970077181E-2</v>
      </c>
      <c r="F659" s="263">
        <f t="shared" si="80"/>
        <v>4.7973666818683133E-2</v>
      </c>
      <c r="G659" s="263">
        <f t="shared" si="80"/>
        <v>4.7995316244871557E-2</v>
      </c>
      <c r="H659" s="263"/>
    </row>
    <row r="660" spans="1:8" ht="15.75" hidden="1" outlineLevel="1">
      <c r="A660" s="29" t="str">
        <f>+MID(A659,4,60)</f>
        <v>Indice de rendimiento operativo en ventas(%)</v>
      </c>
      <c r="C660" s="249"/>
      <c r="D660" s="249"/>
      <c r="F660" s="259" t="s">
        <v>255</v>
      </c>
      <c r="H660" s="30"/>
    </row>
    <row r="661" spans="1:8" ht="15.75" hidden="1" outlineLevel="1">
      <c r="A661" s="258"/>
      <c r="C661" s="249"/>
      <c r="D661" s="249"/>
      <c r="F661" s="30"/>
      <c r="H661" s="30"/>
    </row>
    <row r="662" spans="1:8" collapsed="1">
      <c r="A662" s="258" t="s">
        <v>250</v>
      </c>
      <c r="B662" s="263">
        <f t="shared" ref="B662:G662" si="81">IF(B323=0,0,+B342/B323)</f>
        <v>0</v>
      </c>
      <c r="C662" s="263">
        <f t="shared" si="81"/>
        <v>3.1140285962522947E-2</v>
      </c>
      <c r="D662" s="263">
        <f t="shared" si="81"/>
        <v>3.115454891942411E-2</v>
      </c>
      <c r="E662" s="263">
        <f t="shared" si="81"/>
        <v>3.1168747980550165E-2</v>
      </c>
      <c r="F662" s="263">
        <f t="shared" si="81"/>
        <v>3.1182883432144037E-2</v>
      </c>
      <c r="G662" s="263">
        <f t="shared" si="81"/>
        <v>3.1196955559166514E-2</v>
      </c>
      <c r="H662" s="263"/>
    </row>
    <row r="663" spans="1:8" ht="15.75" hidden="1" outlineLevel="1">
      <c r="A663" s="29" t="str">
        <f>+MID(A662,4,60)</f>
        <v>Indice de rendimiento neto en ventas(%)</v>
      </c>
      <c r="C663" s="249"/>
      <c r="D663" s="249"/>
      <c r="F663" s="259" t="s">
        <v>255</v>
      </c>
      <c r="H663" s="30"/>
    </row>
    <row r="664" spans="1:8" ht="15.75" hidden="1" outlineLevel="1">
      <c r="A664" s="258"/>
      <c r="C664" s="249"/>
      <c r="D664" s="249"/>
      <c r="F664" s="30"/>
      <c r="H664" s="30"/>
    </row>
    <row r="665" spans="1:8" collapsed="1">
      <c r="A665" s="258" t="s">
        <v>251</v>
      </c>
      <c r="B665" s="263">
        <f t="shared" ref="B665:G665" si="82">IF(B533=0,0,+B342/B533)</f>
        <v>0</v>
      </c>
      <c r="C665" s="263">
        <f t="shared" si="82"/>
        <v>0.19578341421194626</v>
      </c>
      <c r="D665" s="263">
        <f t="shared" si="82"/>
        <v>0.16410053018093662</v>
      </c>
      <c r="E665" s="263">
        <f t="shared" si="82"/>
        <v>0.14134061000118078</v>
      </c>
      <c r="F665" s="263">
        <f t="shared" si="82"/>
        <v>0.12419954942363041</v>
      </c>
      <c r="G665" s="263">
        <f t="shared" si="82"/>
        <v>0.11096471509292809</v>
      </c>
      <c r="H665" s="263"/>
    </row>
    <row r="666" spans="1:8" ht="15.75" hidden="1" outlineLevel="1">
      <c r="A666" s="29" t="str">
        <f>+MID(A665,4,60)</f>
        <v>Indice de rendimiento patrimonial(%)</v>
      </c>
      <c r="C666" s="249"/>
      <c r="D666" s="249"/>
      <c r="F666" s="259" t="s">
        <v>255</v>
      </c>
      <c r="H666" s="30"/>
    </row>
    <row r="667" spans="1:8" ht="15.75" hidden="1" outlineLevel="1">
      <c r="A667" s="258"/>
      <c r="C667" s="249"/>
      <c r="D667" s="249"/>
      <c r="F667" s="30"/>
      <c r="H667" s="30"/>
    </row>
    <row r="668" spans="1:8" ht="15.75" collapsed="1" thickBot="1">
      <c r="A668" s="273" t="s">
        <v>252</v>
      </c>
      <c r="B668" s="291">
        <f t="shared" ref="B668:G668" si="83">IF(B519=0,0,+B342/B519)</f>
        <v>0</v>
      </c>
      <c r="C668" s="291">
        <f t="shared" si="83"/>
        <v>0.19578341421194623</v>
      </c>
      <c r="D668" s="291">
        <f t="shared" si="83"/>
        <v>0.1641005301809367</v>
      </c>
      <c r="E668" s="291">
        <f t="shared" si="83"/>
        <v>0.14134061000118087</v>
      </c>
      <c r="F668" s="291">
        <f t="shared" si="83"/>
        <v>0.12419954942363048</v>
      </c>
      <c r="G668" s="291">
        <f t="shared" si="83"/>
        <v>0.11082532502512928</v>
      </c>
      <c r="H668" s="263"/>
    </row>
    <row r="669" spans="1:8" ht="15.75" hidden="1" outlineLevel="1">
      <c r="A669" s="29" t="str">
        <f>+MID(A668,4,60)</f>
        <v>Indice de rendimiento de la inversión(%)</v>
      </c>
      <c r="C669" s="249"/>
      <c r="D669" s="249"/>
      <c r="F669" s="259" t="s">
        <v>255</v>
      </c>
      <c r="H669" s="30"/>
    </row>
    <row r="670" spans="1:8" ht="15.75" hidden="1" outlineLevel="1">
      <c r="A670" s="258"/>
      <c r="C670" s="249"/>
      <c r="D670" s="249"/>
      <c r="F670" s="30"/>
      <c r="H670" s="30"/>
    </row>
    <row r="671" spans="1:8" collapsed="1">
      <c r="A671" s="26" t="s">
        <v>539</v>
      </c>
      <c r="B671" s="254"/>
      <c r="C671" s="254"/>
      <c r="D671" s="254"/>
      <c r="E671" s="254"/>
      <c r="F671" s="254"/>
      <c r="G671" s="254"/>
      <c r="H671" s="254"/>
    </row>
    <row r="675" spans="1:8" ht="15.75">
      <c r="A675" s="249" t="s">
        <v>258</v>
      </c>
      <c r="B675" s="249"/>
      <c r="C675" s="249"/>
      <c r="D675" s="249"/>
      <c r="E675" s="249"/>
      <c r="F675" s="249"/>
      <c r="G675" s="249"/>
      <c r="H675" s="249"/>
    </row>
    <row r="676" spans="1:8" ht="15.75">
      <c r="A676" s="279" t="s">
        <v>228</v>
      </c>
      <c r="B676" s="279"/>
      <c r="C676" s="279"/>
      <c r="D676" s="279"/>
      <c r="E676" s="279"/>
      <c r="F676" s="279"/>
      <c r="G676" s="279"/>
      <c r="H676" s="249"/>
    </row>
    <row r="677" spans="1:8" ht="16.5" thickBot="1">
      <c r="B677" s="267" t="s">
        <v>262</v>
      </c>
    </row>
    <row r="678" spans="1:8" ht="16.5" thickBot="1">
      <c r="A678" s="30" t="s">
        <v>58</v>
      </c>
      <c r="B678" s="249"/>
      <c r="C678" s="267" t="s">
        <v>59</v>
      </c>
      <c r="D678" s="267"/>
      <c r="E678" s="267"/>
      <c r="F678" s="267"/>
      <c r="G678" s="267"/>
      <c r="H678" s="249"/>
    </row>
    <row r="680" spans="1:8" ht="15.75">
      <c r="A680" s="286" t="s">
        <v>60</v>
      </c>
      <c r="B680" s="272">
        <f t="shared" ref="B680:G680" si="84">+B545</f>
        <v>0</v>
      </c>
      <c r="C680" s="272">
        <f t="shared" si="84"/>
        <v>1</v>
      </c>
      <c r="D680" s="272">
        <f t="shared" si="84"/>
        <v>2</v>
      </c>
      <c r="E680" s="272">
        <f t="shared" si="84"/>
        <v>3</v>
      </c>
      <c r="F680" s="272">
        <f t="shared" si="84"/>
        <v>4</v>
      </c>
      <c r="G680" s="272">
        <f t="shared" si="84"/>
        <v>5</v>
      </c>
      <c r="H680" s="71"/>
    </row>
    <row r="682" spans="1:8">
      <c r="A682" s="26" t="s">
        <v>263</v>
      </c>
      <c r="B682" s="250"/>
      <c r="C682" s="250">
        <f>+C493</f>
        <v>1</v>
      </c>
      <c r="D682" s="250">
        <f>+D493</f>
        <v>1</v>
      </c>
      <c r="E682" s="250">
        <f>+E493</f>
        <v>1</v>
      </c>
      <c r="F682" s="250">
        <f>+F493</f>
        <v>1</v>
      </c>
      <c r="G682" s="250">
        <f>+G493</f>
        <v>1</v>
      </c>
      <c r="H682" s="250"/>
    </row>
    <row r="684" spans="1:8">
      <c r="A684" s="27" t="s">
        <v>259</v>
      </c>
      <c r="B684" s="264"/>
      <c r="C684" s="264">
        <f>+C709</f>
        <v>8.0196404963868488</v>
      </c>
      <c r="D684" s="264">
        <f>+D709</f>
        <v>3.6654267368104856</v>
      </c>
      <c r="E684" s="264">
        <f>+E709</f>
        <v>3659.5739474677389</v>
      </c>
      <c r="F684" s="264">
        <f>+F709</f>
        <v>3653.7517502711567</v>
      </c>
      <c r="G684" s="264">
        <f>+G709</f>
        <v>3647.9599642181979</v>
      </c>
      <c r="H684" s="264"/>
    </row>
    <row r="686" spans="1:8">
      <c r="A686" s="252" t="s">
        <v>260</v>
      </c>
      <c r="B686" s="254"/>
      <c r="C686" s="254">
        <f>+C715</f>
        <v>47716930.065442652</v>
      </c>
      <c r="D686" s="254">
        <f>+D715</f>
        <v>47854841.998201601</v>
      </c>
      <c r="E686" s="254">
        <f>+E715</f>
        <v>47993432.461439654</v>
      </c>
      <c r="F686" s="254">
        <f>+F715</f>
        <v>48132704.183979943</v>
      </c>
      <c r="G686" s="254">
        <f>+G715</f>
        <v>48272659.909057684</v>
      </c>
      <c r="H686" s="254"/>
    </row>
    <row r="688" spans="1:8">
      <c r="A688" s="27" t="s">
        <v>301</v>
      </c>
      <c r="B688" s="263"/>
      <c r="C688" s="263">
        <f>+C721</f>
        <v>1.6187435187782625E-3</v>
      </c>
      <c r="D688" s="263">
        <f>+D721</f>
        <v>1.6161493548547115E-3</v>
      </c>
      <c r="E688" s="263">
        <f>+E721</f>
        <v>1.6135687599064103E-3</v>
      </c>
      <c r="F688" s="263">
        <f>+F721</f>
        <v>1.611001653558711E-3</v>
      </c>
      <c r="G688" s="263">
        <f>+G721</f>
        <v>1.6084479560044963E-3</v>
      </c>
      <c r="H688" s="263"/>
    </row>
    <row r="689" spans="1:8" ht="16.5" thickBot="1">
      <c r="A689" s="275" t="s">
        <v>261</v>
      </c>
      <c r="B689" s="275"/>
      <c r="C689" s="275"/>
      <c r="D689" s="275"/>
      <c r="E689" s="275"/>
      <c r="F689" s="275"/>
      <c r="G689" s="275"/>
    </row>
    <row r="690" spans="1:8">
      <c r="A690" s="26" t="s">
        <v>539</v>
      </c>
    </row>
    <row r="692" spans="1:8" ht="15.75">
      <c r="A692" s="249" t="s">
        <v>234</v>
      </c>
      <c r="B692" s="249"/>
      <c r="C692" s="249"/>
      <c r="D692" s="249"/>
      <c r="E692" s="249"/>
      <c r="F692" s="249"/>
      <c r="G692" s="249"/>
      <c r="H692" s="249"/>
    </row>
    <row r="693" spans="1:8" ht="15.75">
      <c r="A693" s="279" t="s">
        <v>228</v>
      </c>
      <c r="B693" s="279"/>
      <c r="C693" s="279"/>
      <c r="D693" s="279"/>
      <c r="E693" s="279"/>
      <c r="F693" s="279"/>
      <c r="G693" s="279"/>
      <c r="H693" s="249"/>
    </row>
    <row r="694" spans="1:8" ht="16.5" thickBot="1">
      <c r="B694" s="270" t="s">
        <v>262</v>
      </c>
    </row>
    <row r="695" spans="1:8" ht="16.5" thickBot="1">
      <c r="A695" s="30" t="s">
        <v>58</v>
      </c>
      <c r="B695" s="249"/>
      <c r="C695" s="267" t="s">
        <v>59</v>
      </c>
      <c r="D695" s="267"/>
      <c r="E695" s="267"/>
      <c r="F695" s="267"/>
      <c r="G695" s="267"/>
      <c r="H695" s="249"/>
    </row>
    <row r="697" spans="1:8" ht="15.75">
      <c r="A697" s="286" t="s">
        <v>60</v>
      </c>
      <c r="B697" s="272">
        <f t="shared" ref="B697:G697" si="85">+B491</f>
        <v>0</v>
      </c>
      <c r="C697" s="272">
        <f t="shared" si="85"/>
        <v>1</v>
      </c>
      <c r="D697" s="272">
        <f t="shared" si="85"/>
        <v>2</v>
      </c>
      <c r="E697" s="272">
        <f t="shared" si="85"/>
        <v>3</v>
      </c>
      <c r="F697" s="272">
        <f t="shared" si="85"/>
        <v>4</v>
      </c>
      <c r="G697" s="272">
        <f t="shared" si="85"/>
        <v>5</v>
      </c>
      <c r="H697" s="71"/>
    </row>
    <row r="699" spans="1:8">
      <c r="A699" s="26" t="s">
        <v>263</v>
      </c>
      <c r="C699" s="250">
        <f>+C452</f>
        <v>1</v>
      </c>
      <c r="D699" s="250">
        <f>+D452</f>
        <v>1</v>
      </c>
      <c r="E699" s="250">
        <f>+E452</f>
        <v>1</v>
      </c>
      <c r="F699" s="250">
        <f>+F452</f>
        <v>1</v>
      </c>
      <c r="G699" s="250">
        <f>+G452</f>
        <v>1</v>
      </c>
      <c r="H699" s="250"/>
    </row>
    <row r="701" spans="1:8">
      <c r="A701" s="252" t="s">
        <v>231</v>
      </c>
      <c r="C701" s="28">
        <f>+SUM(C139:C143)</f>
        <v>2294792240</v>
      </c>
      <c r="D701" s="28">
        <f>+SUM(D139:D143)</f>
        <v>2305118805.0799999</v>
      </c>
      <c r="E701" s="28">
        <f>+SUM(E139:E143)</f>
        <v>2315491839.7028599</v>
      </c>
      <c r="F701" s="28">
        <f>+SUM(F139:F143)</f>
        <v>2325911552.9815226</v>
      </c>
      <c r="G701" s="28">
        <f>+SUM(G139:G143)</f>
        <v>2336378154.9699388</v>
      </c>
      <c r="H701" s="28"/>
    </row>
    <row r="702" spans="1:8">
      <c r="A702" s="252" t="s">
        <v>227</v>
      </c>
      <c r="C702" s="28">
        <f>+C13</f>
        <v>2268</v>
      </c>
      <c r="D702" s="28">
        <f>+D13</f>
        <v>2278.2059999999997</v>
      </c>
      <c r="E702" s="28">
        <f>+E13</f>
        <v>2288.4579269999995</v>
      </c>
      <c r="F702" s="28">
        <f>+F13</f>
        <v>2298.7559876714995</v>
      </c>
      <c r="G702" s="28">
        <f>+G13</f>
        <v>2309.1003896160209</v>
      </c>
      <c r="H702" s="28"/>
    </row>
    <row r="703" spans="1:8">
      <c r="A703" s="252" t="s">
        <v>230</v>
      </c>
      <c r="C703" s="28">
        <f>+C701/C702</f>
        <v>1011813.1569664903</v>
      </c>
      <c r="D703" s="28">
        <f>+D701/D702</f>
        <v>1011813.1569664904</v>
      </c>
      <c r="E703" s="28">
        <f>+E701/E702</f>
        <v>1011813.1569664904</v>
      </c>
      <c r="F703" s="28">
        <f>+F701/F702</f>
        <v>1011813.1569664904</v>
      </c>
      <c r="G703" s="28">
        <f>+G701/G702</f>
        <v>1011813.1569664902</v>
      </c>
      <c r="H703" s="28"/>
    </row>
    <row r="704" spans="1:8">
      <c r="A704" s="252"/>
      <c r="C704" s="253"/>
      <c r="D704" s="253"/>
      <c r="E704" s="253"/>
      <c r="F704" s="253"/>
      <c r="G704" s="253"/>
      <c r="H704" s="253"/>
    </row>
    <row r="705" spans="1:8" ht="15.75">
      <c r="A705" s="252" t="s">
        <v>319</v>
      </c>
    </row>
    <row r="706" spans="1:8">
      <c r="A706" s="265" t="s">
        <v>229</v>
      </c>
      <c r="C706" s="28">
        <f>+SUM(C165,C145,C151:C157)</f>
        <v>44002250</v>
      </c>
      <c r="D706" s="28">
        <f>+SUM(D165,D145,D151:D157)</f>
        <v>44146115</v>
      </c>
      <c r="E706" s="28">
        <f>+SUM(E165,E145,E151:E157)</f>
        <v>44290627.392499998</v>
      </c>
      <c r="F706" s="28">
        <f>+SUM(F165,F145,F151:F157)</f>
        <v>44435790.090766244</v>
      </c>
      <c r="G706" s="28">
        <f>+SUM(G165,G145,G151:G157)</f>
        <v>44581606.021174699</v>
      </c>
      <c r="H706" s="251"/>
    </row>
    <row r="707" spans="1:8">
      <c r="A707" s="27" t="s">
        <v>370</v>
      </c>
      <c r="C707" s="28">
        <f>+C15*6</f>
        <v>6498623.9460317455</v>
      </c>
      <c r="D707" s="28">
        <f>+D15*12</f>
        <v>13055735.507577777</v>
      </c>
      <c r="E707" s="28">
        <f>+E15*12</f>
        <v>13114486.317361876</v>
      </c>
      <c r="F707" s="28">
        <f>+F15*12</f>
        <v>13173501.505790005</v>
      </c>
      <c r="G707" s="28">
        <f>+G15*12</f>
        <v>13232782.262566058</v>
      </c>
      <c r="H707" s="251"/>
    </row>
    <row r="708" spans="1:8">
      <c r="A708" s="252" t="s">
        <v>230</v>
      </c>
      <c r="C708" s="253">
        <f>+C703</f>
        <v>1011813.1569664903</v>
      </c>
      <c r="D708" s="253">
        <f>+D703</f>
        <v>1011813.1569664904</v>
      </c>
      <c r="E708" s="253">
        <f>+E703</f>
        <v>1011813.1569664904</v>
      </c>
      <c r="F708" s="253">
        <f>+F703</f>
        <v>1011813.1569664904</v>
      </c>
      <c r="G708" s="253">
        <f>+G703</f>
        <v>1011813.1569664902</v>
      </c>
      <c r="H708" s="253"/>
    </row>
    <row r="709" spans="1:8" ht="15.75">
      <c r="A709" s="252" t="s">
        <v>320</v>
      </c>
      <c r="C709" s="251">
        <f>+C706/(C707-C708)</f>
        <v>8.0196404963868488</v>
      </c>
      <c r="D709" s="251">
        <f>+D706/(D707-D708)</f>
        <v>3.6654267368104856</v>
      </c>
      <c r="E709" s="251">
        <f>+E706/(E707-E708)*1000</f>
        <v>3659.5739474677389</v>
      </c>
      <c r="F709" s="251">
        <f>+F706/(F707-F708)*1000</f>
        <v>3653.7517502711567</v>
      </c>
      <c r="G709" s="251">
        <f>+G706/(G707-G708)*1000</f>
        <v>3647.9599642181979</v>
      </c>
      <c r="H709" s="264"/>
    </row>
    <row r="711" spans="1:8" ht="15.75">
      <c r="A711" s="252" t="s">
        <v>321</v>
      </c>
    </row>
    <row r="712" spans="1:8">
      <c r="A712" s="265" t="s">
        <v>229</v>
      </c>
      <c r="C712" s="251">
        <f>+SUM(C165,C145,C151:C157)</f>
        <v>44002250</v>
      </c>
      <c r="D712" s="251">
        <f>+SUM(D165,D145,D151:D157)</f>
        <v>44146115</v>
      </c>
      <c r="E712" s="251">
        <f>+SUM(E165,E145,E151:E157)</f>
        <v>44290627.392499998</v>
      </c>
      <c r="F712" s="251">
        <f>+SUM(F165,F145,F151:F157)</f>
        <v>44435790.090766244</v>
      </c>
      <c r="G712" s="251">
        <f>+SUM(G165,G145,G151:G157)</f>
        <v>44581606.021174699</v>
      </c>
      <c r="H712" s="251"/>
    </row>
    <row r="713" spans="1:8">
      <c r="A713" s="27" t="s">
        <v>370</v>
      </c>
      <c r="C713" s="251">
        <f>+C15*12</f>
        <v>12997247.892063491</v>
      </c>
      <c r="D713" s="251">
        <f>+D15*12</f>
        <v>13055735.507577777</v>
      </c>
      <c r="E713" s="251">
        <f>+E15*12</f>
        <v>13114486.317361876</v>
      </c>
      <c r="F713" s="251">
        <f>+F15*12</f>
        <v>13173501.505790005</v>
      </c>
      <c r="G713" s="251">
        <f>+G15*12</f>
        <v>13232782.262566058</v>
      </c>
      <c r="H713" s="251"/>
    </row>
    <row r="714" spans="1:8">
      <c r="A714" s="252" t="s">
        <v>230</v>
      </c>
      <c r="C714" s="253">
        <f>+C708</f>
        <v>1011813.1569664903</v>
      </c>
      <c r="D714" s="253">
        <f>+D708</f>
        <v>1011813.1569664904</v>
      </c>
      <c r="E714" s="253">
        <f>+E708</f>
        <v>1011813.1569664904</v>
      </c>
      <c r="F714" s="253">
        <f>+F708</f>
        <v>1011813.1569664904</v>
      </c>
      <c r="G714" s="253">
        <f>+G708</f>
        <v>1011813.1569664902</v>
      </c>
      <c r="H714" s="253"/>
    </row>
    <row r="715" spans="1:8" ht="15.75">
      <c r="A715" s="252" t="s">
        <v>322</v>
      </c>
      <c r="C715" s="251">
        <f>+C713*(C712/(C713-C714))</f>
        <v>47716930.065442652</v>
      </c>
      <c r="D715" s="251">
        <f>+(D712/(D713-D714))*D713</f>
        <v>47854841.998201601</v>
      </c>
      <c r="E715" s="251">
        <f>+E713*(E712/(E713-E714))</f>
        <v>47993432.461439654</v>
      </c>
      <c r="F715" s="251">
        <f>+F713*(F712/(F713-F714))</f>
        <v>48132704.183979943</v>
      </c>
      <c r="G715" s="251">
        <f>+G713*(G712/(G713-G714))</f>
        <v>48272659.909057684</v>
      </c>
      <c r="H715" s="251"/>
    </row>
    <row r="717" spans="1:8" ht="15.75">
      <c r="A717" s="27" t="s">
        <v>323</v>
      </c>
    </row>
    <row r="718" spans="1:8">
      <c r="A718" s="265" t="s">
        <v>229</v>
      </c>
      <c r="C718" s="28">
        <f>+C706</f>
        <v>44002250</v>
      </c>
      <c r="D718" s="28">
        <f>+D706</f>
        <v>44146115</v>
      </c>
      <c r="E718" s="28">
        <f>+$E$706</f>
        <v>44290627.392499998</v>
      </c>
      <c r="F718" s="28">
        <f>+F706</f>
        <v>44435790.090766244</v>
      </c>
      <c r="G718" s="28">
        <f>+G706</f>
        <v>44581606.021174699</v>
      </c>
      <c r="H718" s="28"/>
    </row>
    <row r="719" spans="1:8">
      <c r="A719" s="252" t="s">
        <v>232</v>
      </c>
      <c r="C719" s="28">
        <f>+C713*'VARIABLES DEL PROYECTO'!$B$4</f>
        <v>29477758219.199997</v>
      </c>
      <c r="D719" s="28">
        <f>+D713*'VARIABLES DEL PROYECTO'!$B$4</f>
        <v>29610408131.186398</v>
      </c>
      <c r="E719" s="28">
        <f>+$E$713*'VARIABLES DEL PROYECTO'!$B$4</f>
        <v>29743654967.776737</v>
      </c>
      <c r="F719" s="28">
        <f>+F713*'VARIABLES DEL PROYECTO'!$B$4</f>
        <v>29877501415.131729</v>
      </c>
      <c r="G719" s="28">
        <f>+G713*'VARIABLES DEL PROYECTO'!$B$4</f>
        <v>30011950171.499821</v>
      </c>
      <c r="H719" s="28"/>
    </row>
    <row r="720" spans="1:8">
      <c r="A720" s="252" t="s">
        <v>233</v>
      </c>
      <c r="C720" s="28">
        <f>+C714*'VARIABLES DEL PROYECTO'!$B$4</f>
        <v>2294792240</v>
      </c>
      <c r="D720" s="28">
        <f>+D714*'VARIABLES DEL PROYECTO'!$B$4</f>
        <v>2294792240.0000005</v>
      </c>
      <c r="E720" s="28">
        <f>+$E$714*'VARIABLES DEL PROYECTO'!$B$4</f>
        <v>2294792240.0000005</v>
      </c>
      <c r="F720" s="28">
        <f>+F714*'VARIABLES DEL PROYECTO'!$B$4</f>
        <v>2294792240.0000005</v>
      </c>
      <c r="G720" s="28">
        <f>+G714*'VARIABLES DEL PROYECTO'!$B$4</f>
        <v>2294792240</v>
      </c>
      <c r="H720" s="28"/>
    </row>
    <row r="721" spans="1:8" ht="16.5" thickBot="1">
      <c r="A721" s="292" t="s">
        <v>324</v>
      </c>
      <c r="B721" s="283"/>
      <c r="C721" s="291">
        <f>+C718/(C719-C720)</f>
        <v>1.6187435187782625E-3</v>
      </c>
      <c r="D721" s="291">
        <f>+D718/(D719-D720)</f>
        <v>1.6161493548547115E-3</v>
      </c>
      <c r="E721" s="291">
        <f>+E718/(E719-E720)</f>
        <v>1.6135687599064103E-3</v>
      </c>
      <c r="F721" s="291">
        <f>+F718/(F719-F720)</f>
        <v>1.611001653558711E-3</v>
      </c>
      <c r="G721" s="291">
        <f>+G718/(G719-G720)</f>
        <v>1.6084479560044963E-3</v>
      </c>
      <c r="H721" s="263"/>
    </row>
    <row r="722" spans="1:8">
      <c r="A722" s="26" t="s">
        <v>539</v>
      </c>
    </row>
  </sheetData>
  <mergeCells count="25">
    <mergeCell ref="C75:G75"/>
    <mergeCell ref="C59:G59"/>
    <mergeCell ref="C45:G45"/>
    <mergeCell ref="C177:H177"/>
    <mergeCell ref="C205:H205"/>
    <mergeCell ref="C489:G489"/>
    <mergeCell ref="A539:G539"/>
    <mergeCell ref="A565:G565"/>
    <mergeCell ref="A566:G566"/>
    <mergeCell ref="C133:G133"/>
    <mergeCell ref="C113:G113"/>
    <mergeCell ref="C94:G94"/>
    <mergeCell ref="C543:G543"/>
    <mergeCell ref="A567:G567"/>
    <mergeCell ref="A614:G614"/>
    <mergeCell ref="A615:G615"/>
    <mergeCell ref="A616:G616"/>
    <mergeCell ref="A540:G540"/>
    <mergeCell ref="A541:G541"/>
    <mergeCell ref="A3:G3"/>
    <mergeCell ref="A2:G2"/>
    <mergeCell ref="A4:G4"/>
    <mergeCell ref="A5:G5"/>
    <mergeCell ref="A21:H21"/>
    <mergeCell ref="A22:H22"/>
  </mergeCells>
  <phoneticPr fontId="3" type="noConversion"/>
  <pageMargins left="0.75" right="0.75" top="1" bottom="1" header="0" footer="0"/>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Costos</vt:lpstr>
      <vt:lpstr>Inversion</vt:lpstr>
      <vt:lpstr>person.</vt:lpstr>
      <vt:lpstr>VARIABLES DEL PROYECTO</vt:lpstr>
      <vt:lpstr>EVALUACION</vt:lpstr>
      <vt:lpstr>FORMULACION</vt:lpstr>
    </vt:vector>
  </TitlesOfParts>
  <Company>INCAUCA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cchaves</dc:creator>
  <cp:lastModifiedBy>AmSavS</cp:lastModifiedBy>
  <dcterms:created xsi:type="dcterms:W3CDTF">2006-11-14T22:45:53Z</dcterms:created>
  <dcterms:modified xsi:type="dcterms:W3CDTF">2009-02-27T14:03:22Z</dcterms:modified>
</cp:coreProperties>
</file>