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7680" yWindow="-15" windowWidth="7725" windowHeight="8250" tabRatio="975" activeTab="2"/>
  </bookViews>
  <sheets>
    <sheet name="Anexo 1 (2)" sheetId="51" r:id="rId1"/>
    <sheet name="Anexo 1" sheetId="49" r:id="rId2"/>
    <sheet name="Evaluación (2)" sheetId="50" r:id="rId3"/>
    <sheet name="Tablas" sheetId="48" r:id="rId4"/>
    <sheet name="FICHA" sheetId="10" r:id="rId5"/>
    <sheet name="Evaluación" sheetId="2" r:id="rId6"/>
    <sheet name="FLUJO DE CAJA" sheetId="52" r:id="rId7"/>
    <sheet name="Preinversion" sheetId="46" r:id="rId8"/>
    <sheet name="Inversion" sheetId="32" r:id="rId9"/>
    <sheet name="Financiacion" sheetId="47" r:id="rId10"/>
    <sheet name="Cronograma" sheetId="25" r:id="rId11"/>
    <sheet name="Beneficios Peaje" sheetId="23" r:id="rId12"/>
    <sheet name="Beneficios Perdidas" sheetId="43" r:id="rId13"/>
    <sheet name="Beneficios Calidad de Servicio" sheetId="38" r:id="rId14"/>
    <sheet name="Beneficios Crecimiento Demanda" sheetId="45" r:id="rId15"/>
    <sheet name="Costo UC" sheetId="24" r:id="rId16"/>
    <sheet name="Datos &gt;" sheetId="42" r:id="rId17"/>
    <sheet name="Demandas 34,5kV" sheetId="33" r:id="rId18"/>
    <sheet name="Demandas 13,2kV" sheetId="35" r:id="rId19"/>
    <sheet name="Indicadores 34,5kV" sheetId="37" r:id="rId20"/>
    <sheet name="Indicadores 13,2kV" sheetId="36" r:id="rId21"/>
    <sheet name="Hoja1" sheetId="53" r:id="rId22"/>
  </sheets>
  <definedNames>
    <definedName name="_xlnm._FilterDatabase" localSheetId="15" hidden="1">'Costo UC'!$A$6:$I$465</definedName>
    <definedName name="_xlnm._FilterDatabase" localSheetId="17" hidden="1">'Demandas 34,5kV'!$A$2:$H$100</definedName>
    <definedName name="_xlnm._FilterDatabase" localSheetId="20" hidden="1">'Indicadores 13,2kV'!$B$7:$D$25</definedName>
    <definedName name="_xlnm._FilterDatabase" localSheetId="19" hidden="1">'Indicadores 34,5kV'!$A$1:$W$1</definedName>
    <definedName name="_xlnm.Print_Area" localSheetId="4">FICHA!$A$1:$R$93</definedName>
  </definedNames>
  <calcPr calcId="145621"/>
</workbook>
</file>

<file path=xl/calcChain.xml><?xml version="1.0" encoding="utf-8"?>
<calcChain xmlns="http://schemas.openxmlformats.org/spreadsheetml/2006/main">
  <c r="F17" i="53" l="1"/>
  <c r="G17" i="53"/>
  <c r="H17" i="53"/>
  <c r="I17" i="53"/>
  <c r="E17" i="53"/>
  <c r="F11" i="53"/>
  <c r="G11" i="53"/>
  <c r="H11" i="53"/>
  <c r="I11" i="53"/>
  <c r="E11" i="53"/>
  <c r="D11" i="52" l="1"/>
  <c r="E11" i="52"/>
  <c r="F11" i="52"/>
  <c r="G11" i="52"/>
  <c r="H11" i="52"/>
  <c r="I11" i="52"/>
  <c r="J11" i="52"/>
  <c r="K11" i="52"/>
  <c r="L11" i="52"/>
  <c r="M11" i="52"/>
  <c r="N11" i="52"/>
  <c r="O11" i="52"/>
  <c r="P11" i="52"/>
  <c r="Q11" i="52"/>
  <c r="R11" i="52"/>
  <c r="S11" i="52"/>
  <c r="T11" i="52"/>
  <c r="U11" i="52"/>
  <c r="V11" i="52"/>
  <c r="W11" i="52"/>
  <c r="X11" i="52"/>
  <c r="Y11" i="52"/>
  <c r="Z11" i="52"/>
  <c r="AA11" i="52"/>
  <c r="G12" i="52"/>
  <c r="C13" i="52"/>
  <c r="AC70" i="51" l="1"/>
  <c r="AC22" i="51" s="1"/>
  <c r="AB70" i="51"/>
  <c r="AB22" i="51" s="1"/>
  <c r="AA70" i="51"/>
  <c r="Z70" i="51"/>
  <c r="Z22" i="51" s="1"/>
  <c r="Y70" i="51"/>
  <c r="Y22" i="51" s="1"/>
  <c r="X70" i="51"/>
  <c r="X22" i="51" s="1"/>
  <c r="W70" i="51"/>
  <c r="W22" i="51" s="1"/>
  <c r="V70" i="51"/>
  <c r="V22" i="51" s="1"/>
  <c r="U70" i="51"/>
  <c r="U22" i="51" s="1"/>
  <c r="T70" i="51"/>
  <c r="T22" i="51" s="1"/>
  <c r="S70" i="51"/>
  <c r="S22" i="51" s="1"/>
  <c r="R70" i="51"/>
  <c r="R22" i="51" s="1"/>
  <c r="Q70" i="51"/>
  <c r="Q22" i="51" s="1"/>
  <c r="P70" i="51"/>
  <c r="P22" i="51" s="1"/>
  <c r="AC67" i="51"/>
  <c r="AB67" i="51"/>
  <c r="AA67" i="51"/>
  <c r="Z67" i="51"/>
  <c r="Y67" i="51"/>
  <c r="X67" i="51"/>
  <c r="W67" i="51"/>
  <c r="V67" i="51"/>
  <c r="U67" i="51"/>
  <c r="T67" i="51"/>
  <c r="S67" i="51"/>
  <c r="R67" i="51"/>
  <c r="Q67" i="51"/>
  <c r="P67" i="51"/>
  <c r="O67" i="51"/>
  <c r="N67" i="51"/>
  <c r="M67" i="51"/>
  <c r="L67" i="51"/>
  <c r="K67" i="51"/>
  <c r="I67" i="51"/>
  <c r="D49" i="51"/>
  <c r="H39" i="51"/>
  <c r="D39" i="51"/>
  <c r="J29" i="51"/>
  <c r="H25" i="51"/>
  <c r="G25" i="51"/>
  <c r="F25" i="51"/>
  <c r="E25" i="51"/>
  <c r="AA22" i="51"/>
  <c r="J21" i="51"/>
  <c r="K21" i="51" s="1"/>
  <c r="E18" i="49"/>
  <c r="E9" i="49"/>
  <c r="G34" i="50"/>
  <c r="G31" i="50"/>
  <c r="H31" i="50" s="1"/>
  <c r="I31" i="50" s="1"/>
  <c r="J31" i="50" s="1"/>
  <c r="K31" i="50" s="1"/>
  <c r="L31" i="50" s="1"/>
  <c r="M31" i="50" s="1"/>
  <c r="N31" i="50" s="1"/>
  <c r="O31" i="50" s="1"/>
  <c r="P31" i="50" s="1"/>
  <c r="Q31" i="50" s="1"/>
  <c r="R31" i="50" s="1"/>
  <c r="S31" i="50" s="1"/>
  <c r="T31" i="50" s="1"/>
  <c r="U31" i="50" s="1"/>
  <c r="V31" i="50" s="1"/>
  <c r="W31" i="50" s="1"/>
  <c r="X31" i="50" s="1"/>
  <c r="Y31" i="50" s="1"/>
  <c r="Z31" i="50" s="1"/>
  <c r="AA31" i="50" s="1"/>
  <c r="C33" i="50"/>
  <c r="AB28" i="50"/>
  <c r="E13" i="49" s="1"/>
  <c r="N76" i="50"/>
  <c r="O76" i="50"/>
  <c r="O30" i="50" s="1"/>
  <c r="P76" i="50"/>
  <c r="P30" i="50" s="1"/>
  <c r="Q76" i="50"/>
  <c r="R76" i="50"/>
  <c r="R30" i="50" s="1"/>
  <c r="S76" i="50"/>
  <c r="S30" i="50" s="1"/>
  <c r="T76" i="50"/>
  <c r="T30" i="50" s="1"/>
  <c r="U76" i="50"/>
  <c r="U30" i="50" s="1"/>
  <c r="V76" i="50"/>
  <c r="W76" i="50"/>
  <c r="W30" i="50" s="1"/>
  <c r="X76" i="50"/>
  <c r="X30" i="50" s="1"/>
  <c r="Y76" i="50"/>
  <c r="Z76" i="50"/>
  <c r="Z30" i="50" s="1"/>
  <c r="AA76" i="50"/>
  <c r="AA30" i="50" s="1"/>
  <c r="AA73" i="50"/>
  <c r="Z73" i="50"/>
  <c r="Y73" i="50"/>
  <c r="X73" i="50"/>
  <c r="W73" i="50"/>
  <c r="V73" i="50"/>
  <c r="U73" i="50"/>
  <c r="T73" i="50"/>
  <c r="S73" i="50"/>
  <c r="R73" i="50"/>
  <c r="Q73" i="50"/>
  <c r="P73" i="50"/>
  <c r="O73" i="50"/>
  <c r="N73" i="50"/>
  <c r="M73" i="50"/>
  <c r="L73" i="50"/>
  <c r="K73" i="50"/>
  <c r="J73" i="50"/>
  <c r="I73" i="50"/>
  <c r="G73" i="50"/>
  <c r="B55" i="50"/>
  <c r="F45" i="50"/>
  <c r="B45" i="50"/>
  <c r="H37" i="50"/>
  <c r="I37" i="50" s="1"/>
  <c r="J37" i="50" s="1"/>
  <c r="K37" i="50" s="1"/>
  <c r="L37" i="50" s="1"/>
  <c r="M37" i="50" s="1"/>
  <c r="N37" i="50" s="1"/>
  <c r="O37" i="50" s="1"/>
  <c r="P37" i="50" s="1"/>
  <c r="Q37" i="50" s="1"/>
  <c r="R37" i="50" s="1"/>
  <c r="S37" i="50" s="1"/>
  <c r="T37" i="50" s="1"/>
  <c r="U37" i="50" s="1"/>
  <c r="V37" i="50" s="1"/>
  <c r="W37" i="50" s="1"/>
  <c r="X37" i="50" s="1"/>
  <c r="Y37" i="50" s="1"/>
  <c r="Z37" i="50" s="1"/>
  <c r="AA37" i="50" s="1"/>
  <c r="AB37" i="50"/>
  <c r="E24" i="49" s="1"/>
  <c r="V30" i="50"/>
  <c r="H29" i="50"/>
  <c r="B2" i="50"/>
  <c r="D29" i="48"/>
  <c r="C29" i="48"/>
  <c r="E28" i="48"/>
  <c r="E27" i="48"/>
  <c r="D4" i="48"/>
  <c r="E4" i="48"/>
  <c r="F4" i="48"/>
  <c r="G4" i="48"/>
  <c r="H4" i="48"/>
  <c r="I4" i="48"/>
  <c r="J4" i="48"/>
  <c r="K4" i="48"/>
  <c r="L4" i="48"/>
  <c r="M4" i="48"/>
  <c r="N4" i="48"/>
  <c r="O4" i="48"/>
  <c r="P4" i="48"/>
  <c r="Q4" i="48"/>
  <c r="R4" i="48"/>
  <c r="S4" i="48"/>
  <c r="T4" i="48"/>
  <c r="U4" i="48"/>
  <c r="V4" i="48"/>
  <c r="W4" i="48"/>
  <c r="X4" i="48"/>
  <c r="Y4" i="48"/>
  <c r="Z4" i="48"/>
  <c r="AA4" i="48"/>
  <c r="G5" i="48"/>
  <c r="C8" i="48"/>
  <c r="D17" i="48"/>
  <c r="E17" i="48"/>
  <c r="F17" i="48"/>
  <c r="G17" i="48"/>
  <c r="C23" i="48"/>
  <c r="B4" i="48"/>
  <c r="B5" i="48"/>
  <c r="B8" i="48"/>
  <c r="B9" i="48"/>
  <c r="B10" i="48"/>
  <c r="B14" i="48"/>
  <c r="B15" i="48"/>
  <c r="B16" i="48"/>
  <c r="B17" i="48"/>
  <c r="B18" i="48"/>
  <c r="B22" i="48"/>
  <c r="B23" i="48"/>
  <c r="B13" i="48"/>
  <c r="AA3" i="48"/>
  <c r="Z3" i="48"/>
  <c r="N3" i="48"/>
  <c r="O3" i="48"/>
  <c r="P3" i="48"/>
  <c r="Q3" i="48"/>
  <c r="R3" i="48"/>
  <c r="S3" i="48"/>
  <c r="T3" i="48"/>
  <c r="U3" i="48"/>
  <c r="V3" i="48"/>
  <c r="W3" i="48"/>
  <c r="X3" i="48"/>
  <c r="Y3" i="48"/>
  <c r="D3" i="48"/>
  <c r="E3" i="48"/>
  <c r="F3" i="48"/>
  <c r="G3" i="48"/>
  <c r="H3" i="48"/>
  <c r="I3" i="48"/>
  <c r="J3" i="48"/>
  <c r="K3" i="48"/>
  <c r="L3" i="48"/>
  <c r="M3" i="48"/>
  <c r="C3" i="48"/>
  <c r="H34" i="50" l="1"/>
  <c r="I34" i="50" s="1"/>
  <c r="J34" i="50" s="1"/>
  <c r="K34" i="50" s="1"/>
  <c r="L34" i="50" s="1"/>
  <c r="M34" i="50" s="1"/>
  <c r="N34" i="50" s="1"/>
  <c r="O34" i="50" s="1"/>
  <c r="P34" i="50" s="1"/>
  <c r="Q34" i="50" s="1"/>
  <c r="R34" i="50" s="1"/>
  <c r="S34" i="50" s="1"/>
  <c r="T34" i="50" s="1"/>
  <c r="U34" i="50" s="1"/>
  <c r="V34" i="50" s="1"/>
  <c r="W34" i="50" s="1"/>
  <c r="X34" i="50" s="1"/>
  <c r="Y34" i="50" s="1"/>
  <c r="Z34" i="50" s="1"/>
  <c r="AA34" i="50" s="1"/>
  <c r="E29" i="48"/>
  <c r="T77" i="50"/>
  <c r="Q77" i="50"/>
  <c r="S71" i="51"/>
  <c r="W71" i="51"/>
  <c r="AA71" i="51"/>
  <c r="Q71" i="51"/>
  <c r="U71" i="51"/>
  <c r="Y71" i="51"/>
  <c r="AC71" i="51"/>
  <c r="R71" i="51"/>
  <c r="V71" i="51"/>
  <c r="Z71" i="51"/>
  <c r="L21" i="51"/>
  <c r="K29" i="51"/>
  <c r="L29" i="51" s="1"/>
  <c r="M29" i="51" s="1"/>
  <c r="N29" i="51" s="1"/>
  <c r="O29" i="51" s="1"/>
  <c r="P29" i="51" s="1"/>
  <c r="Q29" i="51" s="1"/>
  <c r="R29" i="51" s="1"/>
  <c r="S29" i="51" s="1"/>
  <c r="T29" i="51" s="1"/>
  <c r="U29" i="51" s="1"/>
  <c r="V29" i="51" s="1"/>
  <c r="W29" i="51" s="1"/>
  <c r="X29" i="51" s="1"/>
  <c r="Y29" i="51" s="1"/>
  <c r="Z29" i="51" s="1"/>
  <c r="AA29" i="51" s="1"/>
  <c r="AB29" i="51" s="1"/>
  <c r="AC29" i="51" s="1"/>
  <c r="P71" i="51"/>
  <c r="T71" i="51"/>
  <c r="X71" i="51"/>
  <c r="AB71" i="51"/>
  <c r="R77" i="50"/>
  <c r="V77" i="50"/>
  <c r="Z77" i="50"/>
  <c r="O77" i="50"/>
  <c r="S77" i="50"/>
  <c r="W77" i="50"/>
  <c r="AA77" i="50"/>
  <c r="X77" i="50"/>
  <c r="Y77" i="50"/>
  <c r="N77" i="50"/>
  <c r="P77" i="50"/>
  <c r="I29" i="50"/>
  <c r="U77" i="50"/>
  <c r="Q30" i="50"/>
  <c r="Y30" i="50"/>
  <c r="H38" i="50"/>
  <c r="I38" i="50" s="1"/>
  <c r="J38" i="50" s="1"/>
  <c r="K38" i="50" s="1"/>
  <c r="L38" i="50" s="1"/>
  <c r="M38" i="50" s="1"/>
  <c r="N38" i="50" s="1"/>
  <c r="O38" i="50" s="1"/>
  <c r="P38" i="50" s="1"/>
  <c r="Q38" i="50" s="1"/>
  <c r="R38" i="50" s="1"/>
  <c r="S38" i="50" s="1"/>
  <c r="T38" i="50" s="1"/>
  <c r="U38" i="50" s="1"/>
  <c r="V38" i="50" s="1"/>
  <c r="W38" i="50" s="1"/>
  <c r="X38" i="50" s="1"/>
  <c r="Y38" i="50" s="1"/>
  <c r="Z38" i="50" s="1"/>
  <c r="AA38" i="50" s="1"/>
  <c r="AB34" i="50" l="1"/>
  <c r="E21" i="49" s="1"/>
  <c r="M21" i="51"/>
  <c r="AB30" i="50"/>
  <c r="J29" i="50"/>
  <c r="D33" i="50"/>
  <c r="E17" i="49" l="1"/>
  <c r="E15" i="49"/>
  <c r="N21" i="51"/>
  <c r="K29" i="50"/>
  <c r="N76" i="2"/>
  <c r="N30" i="2" s="1"/>
  <c r="O76" i="2"/>
  <c r="O30" i="2" s="1"/>
  <c r="P76" i="2"/>
  <c r="P30" i="2" s="1"/>
  <c r="Q76" i="2"/>
  <c r="R76" i="2"/>
  <c r="R30" i="2" s="1"/>
  <c r="S76" i="2"/>
  <c r="S30" i="2" s="1"/>
  <c r="T76" i="2"/>
  <c r="T30" i="2" s="1"/>
  <c r="U76" i="2"/>
  <c r="U30" i="2" s="1"/>
  <c r="V76" i="2"/>
  <c r="V30" i="2" s="1"/>
  <c r="W76" i="2"/>
  <c r="W30" i="2" s="1"/>
  <c r="X76" i="2"/>
  <c r="X30" i="2" s="1"/>
  <c r="Y76" i="2"/>
  <c r="Z76" i="2"/>
  <c r="Z30" i="2" s="1"/>
  <c r="AA76" i="2"/>
  <c r="AA30" i="2" s="1"/>
  <c r="G73" i="2"/>
  <c r="I73" i="2"/>
  <c r="J73" i="2"/>
  <c r="K73" i="2"/>
  <c r="L73" i="2"/>
  <c r="M73" i="2"/>
  <c r="N73" i="2"/>
  <c r="N77" i="2" s="1"/>
  <c r="O73" i="2"/>
  <c r="O77" i="2" s="1"/>
  <c r="P73" i="2"/>
  <c r="P77" i="2" s="1"/>
  <c r="Q73" i="2"/>
  <c r="R73" i="2"/>
  <c r="R77" i="2" s="1"/>
  <c r="S73" i="2"/>
  <c r="S77" i="2" s="1"/>
  <c r="T73" i="2"/>
  <c r="T77" i="2" s="1"/>
  <c r="U73" i="2"/>
  <c r="V73" i="2"/>
  <c r="V77" i="2" s="1"/>
  <c r="W73" i="2"/>
  <c r="W77" i="2" s="1"/>
  <c r="X73" i="2"/>
  <c r="X77" i="2" s="1"/>
  <c r="Y73" i="2"/>
  <c r="Z73" i="2"/>
  <c r="Z77" i="2" s="1"/>
  <c r="AA73" i="2"/>
  <c r="AA77" i="2" s="1"/>
  <c r="E17" i="47"/>
  <c r="U8" i="48" l="1"/>
  <c r="U13" i="52"/>
  <c r="X8" i="48"/>
  <c r="X13" i="52"/>
  <c r="T8" i="48"/>
  <c r="T13" i="52"/>
  <c r="P8" i="48"/>
  <c r="P13" i="52"/>
  <c r="AA8" i="48"/>
  <c r="AA13" i="52"/>
  <c r="W8" i="48"/>
  <c r="W13" i="52"/>
  <c r="S8" i="48"/>
  <c r="S13" i="52"/>
  <c r="O8" i="48"/>
  <c r="O13" i="52"/>
  <c r="Z8" i="48"/>
  <c r="Z13" i="52"/>
  <c r="V8" i="48"/>
  <c r="V13" i="52"/>
  <c r="R8" i="48"/>
  <c r="R13" i="52"/>
  <c r="N8" i="48"/>
  <c r="N13" i="52"/>
  <c r="Y77" i="2"/>
  <c r="Q77" i="2"/>
  <c r="O21" i="51"/>
  <c r="L29" i="50"/>
  <c r="U77" i="2"/>
  <c r="Y30" i="2"/>
  <c r="Q30" i="2"/>
  <c r="F8" i="25"/>
  <c r="C11" i="46"/>
  <c r="B2" i="2"/>
  <c r="Q8" i="48" l="1"/>
  <c r="Q13" i="52"/>
  <c r="Y8" i="48"/>
  <c r="Y13" i="52"/>
  <c r="C74" i="2"/>
  <c r="E68" i="51"/>
  <c r="E20" i="51"/>
  <c r="C74" i="50"/>
  <c r="P21" i="51"/>
  <c r="M29" i="50"/>
  <c r="C28" i="2"/>
  <c r="I34" i="43"/>
  <c r="J34" i="43" s="1"/>
  <c r="I33" i="43"/>
  <c r="J33" i="43" s="1"/>
  <c r="I32" i="43"/>
  <c r="J32" i="43" s="1"/>
  <c r="I31" i="43"/>
  <c r="J31" i="43" s="1"/>
  <c r="I30" i="43"/>
  <c r="J30" i="43" s="1"/>
  <c r="I29" i="43"/>
  <c r="J29" i="43" s="1"/>
  <c r="I28" i="43"/>
  <c r="J28" i="43" s="1"/>
  <c r="I27" i="43"/>
  <c r="J27" i="43" s="1"/>
  <c r="I26" i="43"/>
  <c r="J26" i="43" s="1"/>
  <c r="I25" i="43"/>
  <c r="J25" i="43" s="1"/>
  <c r="I24" i="43"/>
  <c r="J24" i="43" s="1"/>
  <c r="C4" i="48" l="1"/>
  <c r="AB4" i="48" s="1"/>
  <c r="C11" i="52"/>
  <c r="AD20" i="51"/>
  <c r="Q21" i="51"/>
  <c r="N29" i="50"/>
  <c r="AB28" i="2"/>
  <c r="K13" i="49" s="1"/>
  <c r="D47" i="32"/>
  <c r="D46" i="32"/>
  <c r="P41" i="23"/>
  <c r="Q41" i="23"/>
  <c r="AD42" i="23"/>
  <c r="AC42" i="23"/>
  <c r="X42" i="23"/>
  <c r="W42" i="23"/>
  <c r="V42" i="23"/>
  <c r="U42" i="23"/>
  <c r="T42" i="23"/>
  <c r="S42" i="23"/>
  <c r="R42" i="23"/>
  <c r="N42" i="23"/>
  <c r="M42" i="23"/>
  <c r="L42" i="23"/>
  <c r="K42" i="23"/>
  <c r="J42" i="23"/>
  <c r="I42" i="23"/>
  <c r="H42" i="23"/>
  <c r="R21" i="51" l="1"/>
  <c r="O29" i="50"/>
  <c r="Y42" i="23"/>
  <c r="Z42" i="23" s="1"/>
  <c r="O42" i="23"/>
  <c r="F45" i="2"/>
  <c r="AH42" i="23" l="1"/>
  <c r="AI42" i="23" s="1"/>
  <c r="S21" i="51"/>
  <c r="P29" i="50"/>
  <c r="AB42" i="23"/>
  <c r="H37" i="2"/>
  <c r="I37" i="2" l="1"/>
  <c r="I17" i="48" s="1"/>
  <c r="H17" i="48"/>
  <c r="T21" i="51"/>
  <c r="Q29" i="50"/>
  <c r="J37" i="2"/>
  <c r="K37" i="2" l="1"/>
  <c r="J17" i="48"/>
  <c r="U21" i="51"/>
  <c r="R29" i="50"/>
  <c r="N36" i="32"/>
  <c r="P36" i="32" s="1"/>
  <c r="M36" i="32"/>
  <c r="L37" i="2" l="1"/>
  <c r="K17" i="48"/>
  <c r="V21" i="51"/>
  <c r="S29" i="50"/>
  <c r="K29" i="43"/>
  <c r="L29" i="43" s="1"/>
  <c r="M29" i="43" s="1"/>
  <c r="N29" i="43" s="1"/>
  <c r="K32" i="43"/>
  <c r="L32" i="43" s="1"/>
  <c r="M32" i="43" s="1"/>
  <c r="N32" i="43" s="1"/>
  <c r="K33" i="43"/>
  <c r="L33" i="43" s="1"/>
  <c r="M33" i="43" s="1"/>
  <c r="N33" i="43" s="1"/>
  <c r="M37" i="2" l="1"/>
  <c r="L17" i="48"/>
  <c r="W21" i="51"/>
  <c r="T29" i="50"/>
  <c r="O42" i="43"/>
  <c r="H42" i="43"/>
  <c r="K24" i="43"/>
  <c r="K25" i="43"/>
  <c r="K26" i="43"/>
  <c r="K27" i="43"/>
  <c r="K28" i="43"/>
  <c r="K30" i="43"/>
  <c r="K31" i="43"/>
  <c r="K34" i="43"/>
  <c r="N37" i="2" l="1"/>
  <c r="M17" i="48"/>
  <c r="X21" i="51"/>
  <c r="U29" i="50"/>
  <c r="K42" i="43"/>
  <c r="O37" i="2" l="1"/>
  <c r="N17" i="48"/>
  <c r="Y21" i="51"/>
  <c r="V29" i="50"/>
  <c r="M30" i="32"/>
  <c r="N30" i="32" s="1"/>
  <c r="M35" i="32"/>
  <c r="N35" i="32" s="1"/>
  <c r="M34" i="32"/>
  <c r="N34" i="32" s="1"/>
  <c r="M33" i="32"/>
  <c r="N33" i="32" s="1"/>
  <c r="M32" i="32"/>
  <c r="N32" i="32" s="1"/>
  <c r="M29" i="32"/>
  <c r="N29" i="32" s="1"/>
  <c r="M28" i="32"/>
  <c r="N28" i="32" s="1"/>
  <c r="M24" i="32"/>
  <c r="N24" i="32" s="1"/>
  <c r="M16" i="32"/>
  <c r="N16" i="32" s="1"/>
  <c r="I64" i="33"/>
  <c r="I63" i="33"/>
  <c r="I62" i="33"/>
  <c r="I61" i="33"/>
  <c r="I60" i="33"/>
  <c r="I59" i="33"/>
  <c r="I58" i="33"/>
  <c r="I57" i="33"/>
  <c r="I56" i="33"/>
  <c r="I55" i="33"/>
  <c r="I54" i="33"/>
  <c r="I53" i="33"/>
  <c r="I52" i="33"/>
  <c r="I51" i="33"/>
  <c r="I50" i="33"/>
  <c r="I49" i="33"/>
  <c r="I48" i="33"/>
  <c r="I47" i="33"/>
  <c r="I46" i="33"/>
  <c r="I45" i="33"/>
  <c r="I44" i="33"/>
  <c r="I43" i="33"/>
  <c r="I42" i="33"/>
  <c r="I41" i="33"/>
  <c r="I40" i="33"/>
  <c r="I39" i="33"/>
  <c r="I38" i="33"/>
  <c r="I37" i="33"/>
  <c r="I36" i="33"/>
  <c r="I35" i="33"/>
  <c r="I34" i="33"/>
  <c r="I33" i="33"/>
  <c r="I32" i="33"/>
  <c r="I31" i="33"/>
  <c r="I30" i="33"/>
  <c r="I29" i="33"/>
  <c r="I28" i="33"/>
  <c r="I27" i="33"/>
  <c r="I26" i="33"/>
  <c r="I25" i="33"/>
  <c r="I24" i="33"/>
  <c r="I23" i="33"/>
  <c r="I22" i="33"/>
  <c r="I21" i="33"/>
  <c r="I20" i="33"/>
  <c r="I19" i="33"/>
  <c r="I18" i="33"/>
  <c r="I17" i="33"/>
  <c r="I16" i="33"/>
  <c r="I15" i="33"/>
  <c r="I14" i="33"/>
  <c r="I13" i="33"/>
  <c r="I12" i="33"/>
  <c r="I11" i="33"/>
  <c r="I10" i="33"/>
  <c r="I9" i="33"/>
  <c r="I8" i="33"/>
  <c r="I7" i="33"/>
  <c r="I6" i="33"/>
  <c r="I5" i="33"/>
  <c r="I4" i="33"/>
  <c r="I3" i="33"/>
  <c r="M19" i="32"/>
  <c r="N19" i="32" s="1"/>
  <c r="P19" i="32" s="1"/>
  <c r="F33" i="2"/>
  <c r="F13" i="48" s="1"/>
  <c r="E33" i="2"/>
  <c r="E13" i="48" s="1"/>
  <c r="D33" i="2"/>
  <c r="D13" i="48" s="1"/>
  <c r="C33" i="2"/>
  <c r="C13" i="48" s="1"/>
  <c r="C28" i="45"/>
  <c r="C13" i="45"/>
  <c r="D2" i="45"/>
  <c r="D2" i="38"/>
  <c r="P37" i="2" l="1"/>
  <c r="O17" i="48"/>
  <c r="Z21" i="51"/>
  <c r="W29" i="50"/>
  <c r="Q19" i="32"/>
  <c r="S19" i="32"/>
  <c r="W36" i="32"/>
  <c r="W30" i="32"/>
  <c r="P30" i="32"/>
  <c r="W32" i="32"/>
  <c r="P32" i="32"/>
  <c r="W33" i="32"/>
  <c r="P33" i="32"/>
  <c r="W34" i="32"/>
  <c r="P34" i="32"/>
  <c r="W35" i="32"/>
  <c r="P35" i="32"/>
  <c r="W28" i="32"/>
  <c r="P28" i="32"/>
  <c r="W29" i="32"/>
  <c r="P29" i="32"/>
  <c r="W24" i="32"/>
  <c r="P24" i="32"/>
  <c r="W16" i="32"/>
  <c r="P16" i="32"/>
  <c r="Q37" i="2" l="1"/>
  <c r="P17" i="48"/>
  <c r="AA21" i="51"/>
  <c r="X29" i="50"/>
  <c r="U36" i="32"/>
  <c r="S36" i="32"/>
  <c r="Q36" i="32"/>
  <c r="U30" i="32"/>
  <c r="S30" i="32"/>
  <c r="Q30" i="32"/>
  <c r="U35" i="32"/>
  <c r="S35" i="32"/>
  <c r="Q35" i="32"/>
  <c r="U34" i="32"/>
  <c r="S34" i="32"/>
  <c r="Q34" i="32"/>
  <c r="U33" i="32"/>
  <c r="S33" i="32"/>
  <c r="Q33" i="32"/>
  <c r="U32" i="32"/>
  <c r="S32" i="32"/>
  <c r="Q32" i="32"/>
  <c r="U29" i="32"/>
  <c r="S29" i="32"/>
  <c r="Q29" i="32"/>
  <c r="U28" i="32"/>
  <c r="S28" i="32"/>
  <c r="Q28" i="32"/>
  <c r="U24" i="32"/>
  <c r="S24" i="32"/>
  <c r="Q24" i="32"/>
  <c r="U16" i="32"/>
  <c r="S16" i="32"/>
  <c r="Q16" i="32"/>
  <c r="R37" i="2" l="1"/>
  <c r="Q17" i="48"/>
  <c r="AB21" i="51"/>
  <c r="Y29" i="50"/>
  <c r="Y28" i="32"/>
  <c r="Y34" i="32"/>
  <c r="Y24" i="32"/>
  <c r="Y33" i="32"/>
  <c r="Y36" i="32"/>
  <c r="Y16" i="32"/>
  <c r="Y32" i="32"/>
  <c r="Y30" i="32"/>
  <c r="Y29" i="32"/>
  <c r="Y35" i="32"/>
  <c r="L34" i="43"/>
  <c r="M34" i="43" s="1"/>
  <c r="N34" i="43" s="1"/>
  <c r="L31" i="43"/>
  <c r="M31" i="43" s="1"/>
  <c r="N31" i="43" s="1"/>
  <c r="L30" i="43"/>
  <c r="M30" i="43" s="1"/>
  <c r="N30" i="43" s="1"/>
  <c r="L28" i="43"/>
  <c r="M28" i="43" s="1"/>
  <c r="N28" i="43" s="1"/>
  <c r="L27" i="43"/>
  <c r="M27" i="43" s="1"/>
  <c r="N27" i="43" s="1"/>
  <c r="L26" i="43"/>
  <c r="M26" i="43" s="1"/>
  <c r="N26" i="43" s="1"/>
  <c r="L25" i="43"/>
  <c r="M25" i="43" s="1"/>
  <c r="N25" i="43" s="1"/>
  <c r="S37" i="2" l="1"/>
  <c r="R17" i="48"/>
  <c r="AC21" i="51"/>
  <c r="Z29" i="50"/>
  <c r="L24" i="43"/>
  <c r="L42" i="43" s="1"/>
  <c r="H18" i="43"/>
  <c r="H44" i="43" s="1"/>
  <c r="K11" i="43"/>
  <c r="L11" i="43"/>
  <c r="M11" i="43"/>
  <c r="N11" i="43"/>
  <c r="O11" i="43"/>
  <c r="K12" i="43"/>
  <c r="L12" i="43"/>
  <c r="M12" i="43"/>
  <c r="N12" i="43"/>
  <c r="O12" i="43"/>
  <c r="K13" i="43"/>
  <c r="L13" i="43"/>
  <c r="M13" i="43"/>
  <c r="N13" i="43"/>
  <c r="O13" i="43"/>
  <c r="K14" i="43"/>
  <c r="L14" i="43"/>
  <c r="M14" i="43"/>
  <c r="N14" i="43"/>
  <c r="O14" i="43"/>
  <c r="K15" i="43"/>
  <c r="L15" i="43"/>
  <c r="M15" i="43"/>
  <c r="N15" i="43"/>
  <c r="O15" i="43"/>
  <c r="K16" i="43"/>
  <c r="L16" i="43"/>
  <c r="M16" i="43"/>
  <c r="N16" i="43"/>
  <c r="O16" i="43"/>
  <c r="O10" i="43"/>
  <c r="N10" i="43"/>
  <c r="M10" i="43"/>
  <c r="L10" i="43"/>
  <c r="K10" i="43"/>
  <c r="T37" i="2" l="1"/>
  <c r="S17" i="48"/>
  <c r="AA29" i="50"/>
  <c r="L18" i="43"/>
  <c r="L44" i="43" s="1"/>
  <c r="N18" i="43"/>
  <c r="M18" i="43"/>
  <c r="K18" i="43"/>
  <c r="K44" i="43" s="1"/>
  <c r="O18" i="43"/>
  <c r="O44" i="43" s="1"/>
  <c r="M24" i="43"/>
  <c r="M42" i="43" s="1"/>
  <c r="U37" i="2" l="1"/>
  <c r="T17" i="48"/>
  <c r="M44" i="43"/>
  <c r="N24" i="43"/>
  <c r="V37" i="2" l="1"/>
  <c r="U17" i="48"/>
  <c r="N42" i="43"/>
  <c r="N44" i="43" s="1"/>
  <c r="D2" i="43"/>
  <c r="W37" i="2" l="1"/>
  <c r="V17" i="48"/>
  <c r="I16" i="43"/>
  <c r="J16" i="43" s="1"/>
  <c r="I15" i="43"/>
  <c r="J15" i="43" s="1"/>
  <c r="I11" i="43"/>
  <c r="J11" i="43" s="1"/>
  <c r="I14" i="43"/>
  <c r="J14" i="43" s="1"/>
  <c r="I13" i="43"/>
  <c r="J13" i="43" s="1"/>
  <c r="I12" i="43"/>
  <c r="J12" i="43" s="1"/>
  <c r="I10" i="43"/>
  <c r="J10" i="43" s="1"/>
  <c r="X37" i="2" l="1"/>
  <c r="W17" i="48"/>
  <c r="F18" i="38"/>
  <c r="F15" i="38"/>
  <c r="F12" i="38"/>
  <c r="F19" i="38"/>
  <c r="F20" i="38"/>
  <c r="F21" i="38"/>
  <c r="F22" i="38"/>
  <c r="F23" i="38"/>
  <c r="F24" i="38"/>
  <c r="F25" i="38"/>
  <c r="F26" i="38"/>
  <c r="F27" i="38"/>
  <c r="F28" i="38"/>
  <c r="F29" i="38"/>
  <c r="F30" i="38"/>
  <c r="F31" i="38"/>
  <c r="F32" i="38"/>
  <c r="F33" i="38"/>
  <c r="F34" i="38"/>
  <c r="F35" i="38"/>
  <c r="F36" i="38"/>
  <c r="Y37" i="2" l="1"/>
  <c r="X17" i="48"/>
  <c r="G36" i="38"/>
  <c r="G35" i="38"/>
  <c r="G34" i="38"/>
  <c r="G33" i="38"/>
  <c r="G32" i="38"/>
  <c r="G31" i="38"/>
  <c r="G30" i="38"/>
  <c r="G29" i="38"/>
  <c r="G28" i="38"/>
  <c r="G27" i="38"/>
  <c r="G26" i="38"/>
  <c r="G25" i="38"/>
  <c r="G24" i="38"/>
  <c r="G23" i="38"/>
  <c r="G22" i="38"/>
  <c r="G21" i="38"/>
  <c r="G20" i="38"/>
  <c r="G19" i="38"/>
  <c r="G12" i="38"/>
  <c r="G15" i="38"/>
  <c r="G18" i="38"/>
  <c r="M23" i="32"/>
  <c r="N23" i="32" s="1"/>
  <c r="Z37" i="2" l="1"/>
  <c r="Y17" i="48"/>
  <c r="W23" i="32"/>
  <c r="P23" i="32"/>
  <c r="AA37" i="2" l="1"/>
  <c r="AA17" i="48" s="1"/>
  <c r="Z17" i="48"/>
  <c r="U23" i="32"/>
  <c r="S23" i="32"/>
  <c r="Q23" i="32"/>
  <c r="D49" i="32"/>
  <c r="C75" i="2" l="1"/>
  <c r="E69" i="51"/>
  <c r="C75" i="50"/>
  <c r="Y23" i="32"/>
  <c r="M37" i="32"/>
  <c r="N37" i="32" s="1"/>
  <c r="M31" i="32"/>
  <c r="N31" i="32" s="1"/>
  <c r="M27" i="32"/>
  <c r="N27" i="32" s="1"/>
  <c r="M26" i="32"/>
  <c r="N26" i="32" s="1"/>
  <c r="M25" i="32"/>
  <c r="N25" i="32" s="1"/>
  <c r="M22" i="32"/>
  <c r="N22" i="32" s="1"/>
  <c r="M21" i="32"/>
  <c r="N21" i="32" s="1"/>
  <c r="M20" i="32"/>
  <c r="N20" i="32" s="1"/>
  <c r="M18" i="32"/>
  <c r="N18" i="32" s="1"/>
  <c r="M17" i="32"/>
  <c r="N17" i="32" s="1"/>
  <c r="M15" i="32"/>
  <c r="N15" i="32" s="1"/>
  <c r="M14" i="32"/>
  <c r="N14" i="32" s="1"/>
  <c r="M13" i="32"/>
  <c r="N13" i="32" s="1"/>
  <c r="AF45" i="23"/>
  <c r="AG45" i="23" s="1"/>
  <c r="AE45" i="23"/>
  <c r="Q45" i="23"/>
  <c r="P45" i="23"/>
  <c r="O45" i="23"/>
  <c r="N45" i="23"/>
  <c r="M45" i="23"/>
  <c r="L45" i="23"/>
  <c r="K45" i="23"/>
  <c r="J45" i="23"/>
  <c r="I45" i="23"/>
  <c r="H45" i="23"/>
  <c r="P44" i="23"/>
  <c r="O44" i="23"/>
  <c r="N44" i="23"/>
  <c r="M44" i="23"/>
  <c r="L44" i="23"/>
  <c r="K44" i="23"/>
  <c r="J44" i="23"/>
  <c r="I44" i="23"/>
  <c r="H44" i="23"/>
  <c r="P43" i="23"/>
  <c r="O43" i="23"/>
  <c r="N43" i="23"/>
  <c r="M43" i="23"/>
  <c r="L43" i="23"/>
  <c r="K43" i="23"/>
  <c r="J43" i="23"/>
  <c r="I43" i="23"/>
  <c r="H43" i="23"/>
  <c r="N41" i="23"/>
  <c r="M41" i="23"/>
  <c r="L41" i="23"/>
  <c r="O41" i="23" s="1"/>
  <c r="K41" i="23"/>
  <c r="J41" i="23"/>
  <c r="I41" i="23"/>
  <c r="Q40" i="23"/>
  <c r="P40" i="23"/>
  <c r="N40" i="23"/>
  <c r="M40" i="23"/>
  <c r="L40" i="23"/>
  <c r="K40" i="23"/>
  <c r="J40" i="23"/>
  <c r="I40" i="23"/>
  <c r="H40" i="23"/>
  <c r="Q39" i="23"/>
  <c r="P39" i="23"/>
  <c r="O39" i="23"/>
  <c r="N39" i="23"/>
  <c r="M39" i="23"/>
  <c r="L39" i="23"/>
  <c r="K39" i="23"/>
  <c r="J39" i="23"/>
  <c r="I39" i="23"/>
  <c r="H39" i="23"/>
  <c r="Q38" i="23"/>
  <c r="P38" i="23"/>
  <c r="O38" i="23"/>
  <c r="N38" i="23"/>
  <c r="M38" i="23"/>
  <c r="L38" i="23"/>
  <c r="K38" i="23"/>
  <c r="J38" i="23"/>
  <c r="I38" i="23"/>
  <c r="H38" i="23"/>
  <c r="Q37" i="23"/>
  <c r="P37" i="23"/>
  <c r="N37" i="23"/>
  <c r="M37" i="23"/>
  <c r="L37" i="23"/>
  <c r="K37" i="23"/>
  <c r="O37" i="23" s="1"/>
  <c r="J37" i="23"/>
  <c r="I37" i="23"/>
  <c r="H37" i="23"/>
  <c r="Q36" i="23"/>
  <c r="P36" i="23"/>
  <c r="O36" i="23"/>
  <c r="N36" i="23"/>
  <c r="M36" i="23"/>
  <c r="L36" i="23"/>
  <c r="K36" i="23"/>
  <c r="J36" i="23"/>
  <c r="I36" i="23"/>
  <c r="H36" i="23"/>
  <c r="Q35" i="23"/>
  <c r="P35" i="23"/>
  <c r="O35" i="23"/>
  <c r="N35" i="23"/>
  <c r="M35" i="23"/>
  <c r="L35" i="23"/>
  <c r="K35" i="23"/>
  <c r="J35" i="23"/>
  <c r="I35" i="23"/>
  <c r="H35" i="23"/>
  <c r="Q34" i="23"/>
  <c r="P34" i="23"/>
  <c r="O34" i="23"/>
  <c r="N34" i="23"/>
  <c r="M34" i="23"/>
  <c r="L34" i="23"/>
  <c r="K34" i="23"/>
  <c r="J34" i="23"/>
  <c r="I34" i="23"/>
  <c r="H34" i="23"/>
  <c r="Q33" i="23"/>
  <c r="P33" i="23"/>
  <c r="O33" i="23"/>
  <c r="N33" i="23"/>
  <c r="M33" i="23"/>
  <c r="L33" i="23"/>
  <c r="K33" i="23"/>
  <c r="J33" i="23"/>
  <c r="I33" i="23"/>
  <c r="H33" i="23"/>
  <c r="Q32" i="23"/>
  <c r="P32" i="23"/>
  <c r="O32" i="23"/>
  <c r="N32" i="23"/>
  <c r="M32" i="23"/>
  <c r="L32" i="23"/>
  <c r="K32" i="23"/>
  <c r="J32" i="23"/>
  <c r="I32" i="23"/>
  <c r="H32" i="23"/>
  <c r="Q31" i="23"/>
  <c r="P31" i="23"/>
  <c r="N31" i="23"/>
  <c r="M31" i="23"/>
  <c r="L31" i="23"/>
  <c r="K31" i="23"/>
  <c r="O31" i="23" s="1"/>
  <c r="J31" i="23"/>
  <c r="I31" i="23"/>
  <c r="H31" i="23"/>
  <c r="Q30" i="23"/>
  <c r="P30" i="23"/>
  <c r="N30" i="23"/>
  <c r="M30" i="23"/>
  <c r="L30" i="23"/>
  <c r="K30" i="23"/>
  <c r="O30" i="23" s="1"/>
  <c r="J30" i="23"/>
  <c r="I30" i="23"/>
  <c r="H30" i="23"/>
  <c r="Q29" i="23"/>
  <c r="P29" i="23"/>
  <c r="N29" i="23"/>
  <c r="M29" i="23"/>
  <c r="L29" i="23"/>
  <c r="K29" i="23"/>
  <c r="O29" i="23" s="1"/>
  <c r="J29" i="23"/>
  <c r="I29" i="23"/>
  <c r="H29" i="23"/>
  <c r="Q28" i="23"/>
  <c r="P28" i="23"/>
  <c r="O28" i="23"/>
  <c r="N28" i="23"/>
  <c r="M28" i="23"/>
  <c r="L28" i="23"/>
  <c r="K28" i="23"/>
  <c r="J28" i="23"/>
  <c r="I28" i="23"/>
  <c r="H28" i="23"/>
  <c r="Q27" i="23"/>
  <c r="P27" i="23"/>
  <c r="O27" i="23"/>
  <c r="N27" i="23"/>
  <c r="M27" i="23"/>
  <c r="L27" i="23"/>
  <c r="K27" i="23"/>
  <c r="J27" i="23"/>
  <c r="I27" i="23"/>
  <c r="H27" i="23"/>
  <c r="Q26" i="23"/>
  <c r="P26" i="23"/>
  <c r="O26" i="23"/>
  <c r="N26" i="23"/>
  <c r="M26" i="23"/>
  <c r="L26" i="23"/>
  <c r="K26" i="23"/>
  <c r="J26" i="23"/>
  <c r="I26" i="23"/>
  <c r="H26" i="23"/>
  <c r="Q25" i="23"/>
  <c r="P25" i="23"/>
  <c r="O25" i="23"/>
  <c r="N25" i="23"/>
  <c r="M25" i="23"/>
  <c r="L25" i="23"/>
  <c r="K25" i="23"/>
  <c r="J25" i="23"/>
  <c r="I25" i="23"/>
  <c r="H25" i="23"/>
  <c r="O40" i="23" l="1"/>
  <c r="AC45" i="23"/>
  <c r="AD45" i="23"/>
  <c r="AC44" i="23"/>
  <c r="AD44" i="23"/>
  <c r="AC43" i="23"/>
  <c r="AD43" i="23"/>
  <c r="AC41" i="23"/>
  <c r="AC40" i="23"/>
  <c r="AD40" i="23"/>
  <c r="AC38" i="23"/>
  <c r="AC39" i="23"/>
  <c r="AC37" i="23"/>
  <c r="AC36" i="23"/>
  <c r="AC29" i="23"/>
  <c r="AC30" i="23"/>
  <c r="AC31" i="23"/>
  <c r="AC32" i="23"/>
  <c r="AD32" i="23"/>
  <c r="AC33" i="23"/>
  <c r="AC34" i="23"/>
  <c r="AD34" i="23"/>
  <c r="AC35" i="23"/>
  <c r="AC28" i="23"/>
  <c r="AD28" i="23"/>
  <c r="AC27" i="23"/>
  <c r="AC26" i="23"/>
  <c r="AC25" i="23"/>
  <c r="W13" i="32"/>
  <c r="P13" i="32"/>
  <c r="W14" i="32"/>
  <c r="P14" i="32"/>
  <c r="W15" i="32"/>
  <c r="P15" i="32"/>
  <c r="W17" i="32"/>
  <c r="P17" i="32"/>
  <c r="W18" i="32"/>
  <c r="P18" i="32"/>
  <c r="W19" i="32"/>
  <c r="W20" i="32"/>
  <c r="P20" i="32"/>
  <c r="W21" i="32"/>
  <c r="P21" i="32"/>
  <c r="W22" i="32"/>
  <c r="P22" i="32"/>
  <c r="W25" i="32"/>
  <c r="P25" i="32"/>
  <c r="W26" i="32"/>
  <c r="P26" i="32"/>
  <c r="W27" i="32"/>
  <c r="P27" i="32"/>
  <c r="W31" i="32"/>
  <c r="P31" i="32"/>
  <c r="W37" i="32"/>
  <c r="P37" i="32"/>
  <c r="R25" i="23"/>
  <c r="S25" i="23"/>
  <c r="T25" i="23"/>
  <c r="U25" i="23"/>
  <c r="V25" i="23"/>
  <c r="W25" i="23"/>
  <c r="X25" i="23"/>
  <c r="Y25" i="23"/>
  <c r="Z25" i="23" s="1"/>
  <c r="R26" i="23"/>
  <c r="S26" i="23"/>
  <c r="T26" i="23"/>
  <c r="U26" i="23"/>
  <c r="V26" i="23"/>
  <c r="W26" i="23"/>
  <c r="X26" i="23"/>
  <c r="Y26" i="23"/>
  <c r="Z26" i="23" s="1"/>
  <c r="R27" i="23"/>
  <c r="S27" i="23"/>
  <c r="T27" i="23"/>
  <c r="U27" i="23"/>
  <c r="V27" i="23"/>
  <c r="W27" i="23"/>
  <c r="X27" i="23"/>
  <c r="Y27" i="23"/>
  <c r="Z27" i="23" s="1"/>
  <c r="R28" i="23"/>
  <c r="S28" i="23"/>
  <c r="T28" i="23"/>
  <c r="U28" i="23"/>
  <c r="V28" i="23"/>
  <c r="W28" i="23"/>
  <c r="X28" i="23"/>
  <c r="Y28" i="23"/>
  <c r="Z28" i="23" s="1"/>
  <c r="R29" i="23"/>
  <c r="S29" i="23"/>
  <c r="T29" i="23"/>
  <c r="U29" i="23"/>
  <c r="V29" i="23"/>
  <c r="W29" i="23"/>
  <c r="X29" i="23"/>
  <c r="Y29" i="23"/>
  <c r="Z29" i="23" s="1"/>
  <c r="R30" i="23"/>
  <c r="S30" i="23"/>
  <c r="T30" i="23"/>
  <c r="U30" i="23"/>
  <c r="V30" i="23"/>
  <c r="W30" i="23"/>
  <c r="X30" i="23"/>
  <c r="Y30" i="23"/>
  <c r="Z30" i="23" s="1"/>
  <c r="R31" i="23"/>
  <c r="S31" i="23"/>
  <c r="T31" i="23"/>
  <c r="U31" i="23"/>
  <c r="V31" i="23"/>
  <c r="W31" i="23"/>
  <c r="X31" i="23"/>
  <c r="Y31" i="23"/>
  <c r="Z31" i="23" s="1"/>
  <c r="R32" i="23"/>
  <c r="S32" i="23"/>
  <c r="T32" i="23"/>
  <c r="U32" i="23"/>
  <c r="V32" i="23"/>
  <c r="W32" i="23"/>
  <c r="X32" i="23"/>
  <c r="Y32" i="23"/>
  <c r="Z32" i="23" s="1"/>
  <c r="AB32" i="23"/>
  <c r="R33" i="23"/>
  <c r="S33" i="23"/>
  <c r="T33" i="23"/>
  <c r="U33" i="23"/>
  <c r="V33" i="23"/>
  <c r="W33" i="23"/>
  <c r="X33" i="23"/>
  <c r="Y33" i="23"/>
  <c r="Z33" i="23" s="1"/>
  <c r="R34" i="23"/>
  <c r="S34" i="23"/>
  <c r="T34" i="23"/>
  <c r="U34" i="23"/>
  <c r="V34" i="23"/>
  <c r="W34" i="23"/>
  <c r="X34" i="23"/>
  <c r="Y34" i="23"/>
  <c r="Z34" i="23" s="1"/>
  <c r="R35" i="23"/>
  <c r="S35" i="23"/>
  <c r="T35" i="23"/>
  <c r="U35" i="23"/>
  <c r="V35" i="23"/>
  <c r="W35" i="23"/>
  <c r="X35" i="23"/>
  <c r="Y35" i="23"/>
  <c r="Z35" i="23" s="1"/>
  <c r="R36" i="23"/>
  <c r="S36" i="23"/>
  <c r="T36" i="23"/>
  <c r="U36" i="23"/>
  <c r="V36" i="23"/>
  <c r="W36" i="23"/>
  <c r="X36" i="23"/>
  <c r="Y36" i="23"/>
  <c r="Z36" i="23" s="1"/>
  <c r="R37" i="23"/>
  <c r="S37" i="23"/>
  <c r="T37" i="23"/>
  <c r="U37" i="23"/>
  <c r="V37" i="23"/>
  <c r="W37" i="23"/>
  <c r="X37" i="23"/>
  <c r="Y37" i="23"/>
  <c r="Z37" i="23" s="1"/>
  <c r="R38" i="23"/>
  <c r="S38" i="23"/>
  <c r="T38" i="23"/>
  <c r="U38" i="23"/>
  <c r="V38" i="23"/>
  <c r="W38" i="23"/>
  <c r="X38" i="23"/>
  <c r="Y38" i="23"/>
  <c r="Z38" i="23" s="1"/>
  <c r="R39" i="23"/>
  <c r="S39" i="23"/>
  <c r="T39" i="23"/>
  <c r="U39" i="23"/>
  <c r="V39" i="23"/>
  <c r="W39" i="23"/>
  <c r="X39" i="23"/>
  <c r="Y39" i="23"/>
  <c r="Z39" i="23" s="1"/>
  <c r="R40" i="23"/>
  <c r="S40" i="23"/>
  <c r="T40" i="23"/>
  <c r="U40" i="23"/>
  <c r="V40" i="23"/>
  <c r="W40" i="23"/>
  <c r="X40" i="23"/>
  <c r="R41" i="23"/>
  <c r="S41" i="23"/>
  <c r="T41" i="23"/>
  <c r="U41" i="23"/>
  <c r="V41" i="23"/>
  <c r="W41" i="23"/>
  <c r="X41" i="23"/>
  <c r="Y41" i="23"/>
  <c r="Z41" i="23" s="1"/>
  <c r="R43" i="23"/>
  <c r="S43" i="23"/>
  <c r="T43" i="23"/>
  <c r="U43" i="23"/>
  <c r="V43" i="23"/>
  <c r="W43" i="23"/>
  <c r="X43" i="23"/>
  <c r="Y43" i="23"/>
  <c r="Z43" i="23" s="1"/>
  <c r="R44" i="23"/>
  <c r="S44" i="23"/>
  <c r="T44" i="23"/>
  <c r="U44" i="23"/>
  <c r="V44" i="23"/>
  <c r="W44" i="23"/>
  <c r="X44" i="23"/>
  <c r="Y44" i="23"/>
  <c r="Z44" i="23" s="1"/>
  <c r="R45" i="23"/>
  <c r="S45" i="23"/>
  <c r="T45" i="23"/>
  <c r="U45" i="23"/>
  <c r="V45" i="23"/>
  <c r="W45" i="23"/>
  <c r="X45" i="23"/>
  <c r="Y45" i="23"/>
  <c r="Z45" i="23" s="1"/>
  <c r="AB39" i="23" l="1"/>
  <c r="AB36" i="23"/>
  <c r="AB45" i="23"/>
  <c r="AB28" i="23"/>
  <c r="AB27" i="23"/>
  <c r="AB41" i="23"/>
  <c r="AB44" i="23"/>
  <c r="AB43" i="23"/>
  <c r="AB34" i="23"/>
  <c r="AB26" i="23"/>
  <c r="AB35" i="23"/>
  <c r="AB29" i="23"/>
  <c r="AB38" i="23"/>
  <c r="Y40" i="23"/>
  <c r="AB40" i="23" s="1"/>
  <c r="AB31" i="23"/>
  <c r="AB30" i="23"/>
  <c r="AB37" i="23"/>
  <c r="AB33" i="23"/>
  <c r="AB25" i="23"/>
  <c r="U37" i="32"/>
  <c r="S37" i="32"/>
  <c r="Q37" i="32"/>
  <c r="U31" i="32"/>
  <c r="S31" i="32"/>
  <c r="Q31" i="32"/>
  <c r="U27" i="32"/>
  <c r="S27" i="32"/>
  <c r="Q27" i="32"/>
  <c r="U26" i="32"/>
  <c r="S26" i="32"/>
  <c r="AF30" i="23" s="1"/>
  <c r="AG30" i="23" s="1"/>
  <c r="Q26" i="32"/>
  <c r="U25" i="32"/>
  <c r="S25" i="32"/>
  <c r="Q25" i="32"/>
  <c r="U22" i="32"/>
  <c r="S22" i="32"/>
  <c r="Q22" i="32"/>
  <c r="U21" i="32"/>
  <c r="S21" i="32"/>
  <c r="Q21" i="32"/>
  <c r="U20" i="32"/>
  <c r="S20" i="32"/>
  <c r="Q20" i="32"/>
  <c r="U19" i="32"/>
  <c r="Y19" i="32" s="1"/>
  <c r="U18" i="32"/>
  <c r="S18" i="32"/>
  <c r="Q18" i="32"/>
  <c r="U17" i="32"/>
  <c r="S17" i="32"/>
  <c r="Q17" i="32"/>
  <c r="U15" i="32"/>
  <c r="S15" i="32"/>
  <c r="Q15" i="32"/>
  <c r="U14" i="32"/>
  <c r="S14" i="32"/>
  <c r="Q14" i="32"/>
  <c r="U13" i="32"/>
  <c r="S13" i="32"/>
  <c r="Q13" i="32"/>
  <c r="AF40" i="23"/>
  <c r="AG40" i="23" s="1"/>
  <c r="AF39" i="23"/>
  <c r="AF38" i="23"/>
  <c r="AG38" i="23" s="1"/>
  <c r="AF37" i="23"/>
  <c r="AG37" i="23" s="1"/>
  <c r="AF36" i="23"/>
  <c r="AG36" i="23" s="1"/>
  <c r="AF34" i="23"/>
  <c r="AG34" i="23" s="1"/>
  <c r="AF33" i="23"/>
  <c r="AG33" i="23" s="1"/>
  <c r="AF32" i="23"/>
  <c r="AG32" i="23" s="1"/>
  <c r="AF28" i="23"/>
  <c r="AG28" i="23" s="1"/>
  <c r="AF27" i="23"/>
  <c r="AG27" i="23" s="1"/>
  <c r="AH45" i="23"/>
  <c r="AI45" i="23" s="1"/>
  <c r="AH44" i="23"/>
  <c r="AI44" i="23" s="1"/>
  <c r="AH43" i="23"/>
  <c r="AI43" i="23" s="1"/>
  <c r="AH41" i="23"/>
  <c r="AI41" i="23" s="1"/>
  <c r="AH39" i="23"/>
  <c r="AI39" i="23" s="1"/>
  <c r="AH38" i="23"/>
  <c r="AI38" i="23" s="1"/>
  <c r="AH37" i="23"/>
  <c r="AI37" i="23" s="1"/>
  <c r="AH36" i="23"/>
  <c r="AI36" i="23" s="1"/>
  <c r="AH35" i="23"/>
  <c r="AI35" i="23" s="1"/>
  <c r="AH34" i="23"/>
  <c r="AI34" i="23" s="1"/>
  <c r="AH33" i="23"/>
  <c r="AI33" i="23" s="1"/>
  <c r="AH32" i="23"/>
  <c r="AI32" i="23" s="1"/>
  <c r="AH31" i="23"/>
  <c r="AI31" i="23" s="1"/>
  <c r="AH30" i="23"/>
  <c r="AI30" i="23" s="1"/>
  <c r="AH29" i="23"/>
  <c r="AI29" i="23" s="1"/>
  <c r="AH28" i="23"/>
  <c r="AI28" i="23" s="1"/>
  <c r="AH27" i="23"/>
  <c r="AI27" i="23" s="1"/>
  <c r="AH26" i="23"/>
  <c r="AI26" i="23" s="1"/>
  <c r="AH25" i="23"/>
  <c r="AI25" i="23" s="1"/>
  <c r="AF29" i="23" l="1"/>
  <c r="AG29" i="23" s="1"/>
  <c r="AF35" i="23"/>
  <c r="AG35" i="23" s="1"/>
  <c r="Z40" i="23"/>
  <c r="AH40" i="23"/>
  <c r="AI40" i="23" s="1"/>
  <c r="Y15" i="32"/>
  <c r="AF25" i="23"/>
  <c r="AG25" i="23" s="1"/>
  <c r="Y25" i="32"/>
  <c r="AF31" i="23"/>
  <c r="AG31" i="23" s="1"/>
  <c r="Y37" i="32"/>
  <c r="Y14" i="32"/>
  <c r="Y22" i="32"/>
  <c r="Y31" i="32"/>
  <c r="AF41" i="23"/>
  <c r="AG41" i="23" s="1"/>
  <c r="Y13" i="32"/>
  <c r="Y18" i="32"/>
  <c r="Y21" i="32"/>
  <c r="Y27" i="32"/>
  <c r="Y17" i="32"/>
  <c r="Y20" i="32"/>
  <c r="Y26" i="32"/>
  <c r="AG39" i="23"/>
  <c r="AE25" i="23"/>
  <c r="AE27" i="23"/>
  <c r="AE28" i="23"/>
  <c r="AE29" i="23"/>
  <c r="AE30" i="23"/>
  <c r="AE31" i="23"/>
  <c r="AE32" i="23"/>
  <c r="AE33" i="23"/>
  <c r="AE34" i="23"/>
  <c r="AE36" i="23"/>
  <c r="AE37" i="23"/>
  <c r="AE38" i="23"/>
  <c r="AE39" i="23"/>
  <c r="AE40" i="23"/>
  <c r="AE41" i="23"/>
  <c r="AE35" i="23"/>
  <c r="E20" i="38"/>
  <c r="E21" i="38"/>
  <c r="E22" i="38"/>
  <c r="E23" i="38"/>
  <c r="E24" i="38"/>
  <c r="E25" i="38"/>
  <c r="E26" i="38"/>
  <c r="E27" i="38"/>
  <c r="E28" i="38"/>
  <c r="E29" i="38"/>
  <c r="E30" i="38"/>
  <c r="E31" i="38"/>
  <c r="E32" i="38"/>
  <c r="E33" i="38"/>
  <c r="E34" i="38"/>
  <c r="E35" i="38"/>
  <c r="E36" i="38"/>
  <c r="E19" i="38"/>
  <c r="D20" i="38"/>
  <c r="M20" i="38" s="1"/>
  <c r="D21" i="38"/>
  <c r="M21" i="38" s="1"/>
  <c r="D22" i="38"/>
  <c r="M22" i="38" s="1"/>
  <c r="D23" i="38"/>
  <c r="M23" i="38" s="1"/>
  <c r="D24" i="38"/>
  <c r="M24" i="38" s="1"/>
  <c r="D25" i="38"/>
  <c r="M25" i="38" s="1"/>
  <c r="D26" i="38"/>
  <c r="M26" i="38" s="1"/>
  <c r="D27" i="38"/>
  <c r="M27" i="38" s="1"/>
  <c r="D28" i="38"/>
  <c r="M28" i="38" s="1"/>
  <c r="D29" i="38"/>
  <c r="M29" i="38" s="1"/>
  <c r="D30" i="38"/>
  <c r="M30" i="38" s="1"/>
  <c r="D31" i="38"/>
  <c r="M31" i="38" s="1"/>
  <c r="D32" i="38"/>
  <c r="M32" i="38" s="1"/>
  <c r="D33" i="38"/>
  <c r="M33" i="38" s="1"/>
  <c r="D34" i="38"/>
  <c r="M34" i="38" s="1"/>
  <c r="D35" i="38"/>
  <c r="M35" i="38" s="1"/>
  <c r="D36" i="38"/>
  <c r="M36" i="38" s="1"/>
  <c r="D19" i="38"/>
  <c r="M19" i="38" s="1"/>
  <c r="D12" i="38"/>
  <c r="M12" i="38" s="1"/>
  <c r="E12" i="38"/>
  <c r="D13" i="38"/>
  <c r="M13" i="38" s="1"/>
  <c r="E13" i="38"/>
  <c r="N13" i="38" s="1"/>
  <c r="D14" i="38"/>
  <c r="M14" i="38" s="1"/>
  <c r="E14" i="38"/>
  <c r="N14" i="38" s="1"/>
  <c r="D15" i="38"/>
  <c r="M15" i="38" s="1"/>
  <c r="E15" i="38"/>
  <c r="D16" i="38"/>
  <c r="M16" i="38" s="1"/>
  <c r="E16" i="38"/>
  <c r="N16" i="38" s="1"/>
  <c r="D17" i="38"/>
  <c r="M17" i="38" s="1"/>
  <c r="E17" i="38"/>
  <c r="N17" i="38" s="1"/>
  <c r="D18" i="38"/>
  <c r="M18" i="38" s="1"/>
  <c r="E18" i="38"/>
  <c r="D100" i="33"/>
  <c r="D99" i="33"/>
  <c r="D98" i="33"/>
  <c r="D97" i="33"/>
  <c r="D96" i="33"/>
  <c r="D95" i="33"/>
  <c r="D94" i="33"/>
  <c r="D93" i="33"/>
  <c r="D92" i="33"/>
  <c r="D91" i="33"/>
  <c r="D90" i="33"/>
  <c r="D89" i="33"/>
  <c r="D88" i="33"/>
  <c r="D87" i="33"/>
  <c r="D86" i="33"/>
  <c r="D85" i="33"/>
  <c r="D84" i="33"/>
  <c r="D83" i="33"/>
  <c r="D82" i="33"/>
  <c r="D81" i="33"/>
  <c r="D80" i="33"/>
  <c r="D79" i="33"/>
  <c r="D78" i="33"/>
  <c r="D77" i="33"/>
  <c r="D76" i="33"/>
  <c r="D75" i="33"/>
  <c r="D74" i="33"/>
  <c r="D73" i="33"/>
  <c r="D72" i="33"/>
  <c r="D71" i="33"/>
  <c r="D70" i="33"/>
  <c r="D69" i="33"/>
  <c r="D68" i="33"/>
  <c r="D67" i="33"/>
  <c r="D66" i="33"/>
  <c r="D65" i="33"/>
  <c r="C66" i="33"/>
  <c r="C67" i="33"/>
  <c r="I67" i="33" s="1"/>
  <c r="C68" i="33"/>
  <c r="C69" i="33"/>
  <c r="I69" i="33" s="1"/>
  <c r="C70" i="33"/>
  <c r="C71" i="33"/>
  <c r="I71" i="33" s="1"/>
  <c r="C72" i="33"/>
  <c r="C73" i="33"/>
  <c r="I73" i="33" s="1"/>
  <c r="C74" i="33"/>
  <c r="C75" i="33"/>
  <c r="I75" i="33" s="1"/>
  <c r="C76" i="33"/>
  <c r="C77" i="33"/>
  <c r="I77" i="33" s="1"/>
  <c r="C78" i="33"/>
  <c r="C79" i="33"/>
  <c r="I79" i="33" s="1"/>
  <c r="C80" i="33"/>
  <c r="C81" i="33"/>
  <c r="I81" i="33" s="1"/>
  <c r="C82" i="33"/>
  <c r="C83" i="33"/>
  <c r="I83" i="33" s="1"/>
  <c r="C84" i="33"/>
  <c r="C85" i="33"/>
  <c r="I85" i="33" s="1"/>
  <c r="C86" i="33"/>
  <c r="C87" i="33"/>
  <c r="I87" i="33" s="1"/>
  <c r="C88" i="33"/>
  <c r="C89" i="33"/>
  <c r="I89" i="33" s="1"/>
  <c r="C90" i="33"/>
  <c r="C91" i="33"/>
  <c r="I91" i="33" s="1"/>
  <c r="C92" i="33"/>
  <c r="C93" i="33"/>
  <c r="I93" i="33" s="1"/>
  <c r="C94" i="33"/>
  <c r="C95" i="33"/>
  <c r="I95" i="33" s="1"/>
  <c r="C96" i="33"/>
  <c r="C97" i="33"/>
  <c r="I97" i="33" s="1"/>
  <c r="C98" i="33"/>
  <c r="C99" i="33"/>
  <c r="I99" i="33" s="1"/>
  <c r="C100" i="33"/>
  <c r="C65" i="33"/>
  <c r="E11" i="38"/>
  <c r="N11" i="38" s="1"/>
  <c r="D11" i="38"/>
  <c r="M11" i="38" s="1"/>
  <c r="I100" i="33" l="1"/>
  <c r="I96" i="33"/>
  <c r="I92" i="33"/>
  <c r="I88" i="33"/>
  <c r="I84" i="33"/>
  <c r="I80" i="33"/>
  <c r="I76" i="33"/>
  <c r="I72" i="33"/>
  <c r="I68" i="33"/>
  <c r="I98" i="33"/>
  <c r="I94" i="33"/>
  <c r="I90" i="33"/>
  <c r="I86" i="33"/>
  <c r="I82" i="33"/>
  <c r="I78" i="33"/>
  <c r="I74" i="33"/>
  <c r="I70" i="33"/>
  <c r="I66" i="33"/>
  <c r="F14" i="38"/>
  <c r="O14" i="38" s="1"/>
  <c r="P14" i="38" s="1"/>
  <c r="Q14" i="38" s="1"/>
  <c r="R14" i="38" s="1"/>
  <c r="S14" i="38" s="1"/>
  <c r="I65" i="33"/>
  <c r="N18" i="38"/>
  <c r="O18" i="38" s="1"/>
  <c r="P18" i="38" s="1"/>
  <c r="Q18" i="38" s="1"/>
  <c r="R18" i="38" s="1"/>
  <c r="S18" i="38" s="1"/>
  <c r="W18" i="38"/>
  <c r="U18" i="38"/>
  <c r="H18" i="38"/>
  <c r="I18" i="38" s="1"/>
  <c r="J18" i="38" s="1"/>
  <c r="K18" i="38" s="1"/>
  <c r="L18" i="38" s="1"/>
  <c r="N15" i="38"/>
  <c r="O15" i="38" s="1"/>
  <c r="P15" i="38" s="1"/>
  <c r="Q15" i="38" s="1"/>
  <c r="R15" i="38" s="1"/>
  <c r="S15" i="38" s="1"/>
  <c r="H15" i="38"/>
  <c r="I15" i="38" s="1"/>
  <c r="J15" i="38" s="1"/>
  <c r="K15" i="38" s="1"/>
  <c r="L15" i="38" s="1"/>
  <c r="N12" i="38"/>
  <c r="O12" i="38" s="1"/>
  <c r="P12" i="38" s="1"/>
  <c r="Q12" i="38" s="1"/>
  <c r="R12" i="38" s="1"/>
  <c r="S12" i="38" s="1"/>
  <c r="H12" i="38"/>
  <c r="I12" i="38" s="1"/>
  <c r="J12" i="38" s="1"/>
  <c r="K12" i="38" s="1"/>
  <c r="L12" i="38" s="1"/>
  <c r="H19" i="38"/>
  <c r="I19" i="38" s="1"/>
  <c r="J19" i="38" s="1"/>
  <c r="K19" i="38" s="1"/>
  <c r="L19" i="38" s="1"/>
  <c r="H36" i="38"/>
  <c r="I36" i="38" s="1"/>
  <c r="J36" i="38" s="1"/>
  <c r="K36" i="38" s="1"/>
  <c r="L36" i="38" s="1"/>
  <c r="H35" i="38"/>
  <c r="I35" i="38" s="1"/>
  <c r="J35" i="38" s="1"/>
  <c r="K35" i="38" s="1"/>
  <c r="L35" i="38" s="1"/>
  <c r="H34" i="38"/>
  <c r="I34" i="38" s="1"/>
  <c r="J34" i="38" s="1"/>
  <c r="K34" i="38" s="1"/>
  <c r="L34" i="38" s="1"/>
  <c r="H33" i="38"/>
  <c r="I33" i="38" s="1"/>
  <c r="J33" i="38" s="1"/>
  <c r="K33" i="38" s="1"/>
  <c r="L33" i="38" s="1"/>
  <c r="H32" i="38"/>
  <c r="I32" i="38" s="1"/>
  <c r="J32" i="38" s="1"/>
  <c r="K32" i="38" s="1"/>
  <c r="L32" i="38" s="1"/>
  <c r="H31" i="38"/>
  <c r="I31" i="38" s="1"/>
  <c r="J31" i="38" s="1"/>
  <c r="K31" i="38" s="1"/>
  <c r="L31" i="38" s="1"/>
  <c r="H30" i="38"/>
  <c r="I30" i="38" s="1"/>
  <c r="J30" i="38" s="1"/>
  <c r="K30" i="38" s="1"/>
  <c r="L30" i="38" s="1"/>
  <c r="H29" i="38"/>
  <c r="I29" i="38" s="1"/>
  <c r="J29" i="38" s="1"/>
  <c r="K29" i="38" s="1"/>
  <c r="L29" i="38" s="1"/>
  <c r="H28" i="38"/>
  <c r="I28" i="38" s="1"/>
  <c r="J28" i="38" s="1"/>
  <c r="K28" i="38" s="1"/>
  <c r="L28" i="38" s="1"/>
  <c r="H27" i="38"/>
  <c r="I27" i="38" s="1"/>
  <c r="J27" i="38" s="1"/>
  <c r="K27" i="38" s="1"/>
  <c r="L27" i="38" s="1"/>
  <c r="H26" i="38"/>
  <c r="I26" i="38" s="1"/>
  <c r="J26" i="38" s="1"/>
  <c r="K26" i="38" s="1"/>
  <c r="L26" i="38" s="1"/>
  <c r="H25" i="38"/>
  <c r="I25" i="38" s="1"/>
  <c r="J25" i="38" s="1"/>
  <c r="K25" i="38" s="1"/>
  <c r="L25" i="38" s="1"/>
  <c r="H24" i="38"/>
  <c r="I24" i="38" s="1"/>
  <c r="J24" i="38" s="1"/>
  <c r="K24" i="38" s="1"/>
  <c r="L24" i="38" s="1"/>
  <c r="H23" i="38"/>
  <c r="I23" i="38" s="1"/>
  <c r="J23" i="38" s="1"/>
  <c r="K23" i="38" s="1"/>
  <c r="L23" i="38" s="1"/>
  <c r="H22" i="38"/>
  <c r="I22" i="38" s="1"/>
  <c r="J22" i="38" s="1"/>
  <c r="K22" i="38" s="1"/>
  <c r="L22" i="38" s="1"/>
  <c r="H21" i="38"/>
  <c r="I21" i="38" s="1"/>
  <c r="J21" i="38" s="1"/>
  <c r="K21" i="38" s="1"/>
  <c r="L21" i="38" s="1"/>
  <c r="H20" i="38"/>
  <c r="I20" i="38" s="1"/>
  <c r="J20" i="38" s="1"/>
  <c r="K20" i="38" s="1"/>
  <c r="L20" i="38" s="1"/>
  <c r="F11" i="38"/>
  <c r="O11" i="38" s="1"/>
  <c r="P11" i="38" s="1"/>
  <c r="Q11" i="38" s="1"/>
  <c r="R11" i="38" s="1"/>
  <c r="S11" i="38" s="1"/>
  <c r="F13" i="38"/>
  <c r="O13" i="38" s="1"/>
  <c r="P13" i="38" s="1"/>
  <c r="Q13" i="38" s="1"/>
  <c r="R13" i="38" s="1"/>
  <c r="S13" i="38" s="1"/>
  <c r="F16" i="38"/>
  <c r="O16" i="38" s="1"/>
  <c r="P16" i="38" s="1"/>
  <c r="Q16" i="38" s="1"/>
  <c r="R16" i="38" s="1"/>
  <c r="S16" i="38" s="1"/>
  <c r="F17" i="38"/>
  <c r="O17" i="38" s="1"/>
  <c r="P17" i="38" s="1"/>
  <c r="Q17" i="38" s="1"/>
  <c r="R17" i="38" s="1"/>
  <c r="S17" i="38" s="1"/>
  <c r="N19" i="38"/>
  <c r="N36" i="38"/>
  <c r="N35" i="38"/>
  <c r="N34" i="38"/>
  <c r="N33" i="38"/>
  <c r="N32" i="38"/>
  <c r="N31" i="38"/>
  <c r="N30" i="38"/>
  <c r="N29" i="38"/>
  <c r="N28" i="38"/>
  <c r="N27" i="38"/>
  <c r="N26" i="38"/>
  <c r="N25" i="38"/>
  <c r="N24" i="38"/>
  <c r="N23" i="38"/>
  <c r="N22" i="38"/>
  <c r="N21" i="38"/>
  <c r="N20" i="38"/>
  <c r="E14" i="33"/>
  <c r="E7" i="33"/>
  <c r="U15" i="38" l="1"/>
  <c r="T12" i="38"/>
  <c r="V12" i="38"/>
  <c r="X12" i="38"/>
  <c r="V18" i="38"/>
  <c r="U12" i="38"/>
  <c r="T18" i="38"/>
  <c r="X18" i="38"/>
  <c r="G14" i="38"/>
  <c r="V14" i="38"/>
  <c r="W15" i="38"/>
  <c r="T14" i="38"/>
  <c r="X14" i="38"/>
  <c r="W12" i="38"/>
  <c r="T15" i="38"/>
  <c r="X15" i="38"/>
  <c r="U14" i="38"/>
  <c r="C46" i="43"/>
  <c r="V15" i="38"/>
  <c r="H14" i="38"/>
  <c r="I14" i="38" s="1"/>
  <c r="J14" i="38" s="1"/>
  <c r="K14" i="38" s="1"/>
  <c r="L14" i="38" s="1"/>
  <c r="W14" i="38"/>
  <c r="F46" i="2"/>
  <c r="F47" i="2" s="1"/>
  <c r="C37" i="2" s="1"/>
  <c r="C31" i="45"/>
  <c r="X20" i="38"/>
  <c r="O20" i="38"/>
  <c r="P20" i="38" s="1"/>
  <c r="Q20" i="38" s="1"/>
  <c r="R20" i="38" s="1"/>
  <c r="S20" i="38" s="1"/>
  <c r="X21" i="38"/>
  <c r="O21" i="38"/>
  <c r="P21" i="38" s="1"/>
  <c r="Q21" i="38" s="1"/>
  <c r="R21" i="38" s="1"/>
  <c r="S21" i="38" s="1"/>
  <c r="X22" i="38"/>
  <c r="O22" i="38"/>
  <c r="P22" i="38" s="1"/>
  <c r="Q22" i="38" s="1"/>
  <c r="R22" i="38" s="1"/>
  <c r="S22" i="38" s="1"/>
  <c r="X23" i="38"/>
  <c r="O23" i="38"/>
  <c r="P23" i="38" s="1"/>
  <c r="Q23" i="38" s="1"/>
  <c r="R23" i="38" s="1"/>
  <c r="S23" i="38" s="1"/>
  <c r="X24" i="38"/>
  <c r="O24" i="38"/>
  <c r="P24" i="38" s="1"/>
  <c r="Q24" i="38" s="1"/>
  <c r="R24" i="38" s="1"/>
  <c r="S24" i="38" s="1"/>
  <c r="X25" i="38"/>
  <c r="O25" i="38"/>
  <c r="P25" i="38" s="1"/>
  <c r="Q25" i="38" s="1"/>
  <c r="R25" i="38" s="1"/>
  <c r="S25" i="38" s="1"/>
  <c r="X26" i="38"/>
  <c r="O26" i="38"/>
  <c r="P26" i="38" s="1"/>
  <c r="Q26" i="38" s="1"/>
  <c r="R26" i="38" s="1"/>
  <c r="S26" i="38" s="1"/>
  <c r="X27" i="38"/>
  <c r="O27" i="38"/>
  <c r="P27" i="38" s="1"/>
  <c r="Q27" i="38" s="1"/>
  <c r="R27" i="38" s="1"/>
  <c r="S27" i="38" s="1"/>
  <c r="X28" i="38"/>
  <c r="O28" i="38"/>
  <c r="P28" i="38" s="1"/>
  <c r="Q28" i="38" s="1"/>
  <c r="R28" i="38" s="1"/>
  <c r="S28" i="38" s="1"/>
  <c r="X29" i="38"/>
  <c r="O29" i="38"/>
  <c r="P29" i="38" s="1"/>
  <c r="Q29" i="38" s="1"/>
  <c r="R29" i="38" s="1"/>
  <c r="S29" i="38" s="1"/>
  <c r="X30" i="38"/>
  <c r="O30" i="38"/>
  <c r="P30" i="38" s="1"/>
  <c r="Q30" i="38" s="1"/>
  <c r="R30" i="38" s="1"/>
  <c r="S30" i="38" s="1"/>
  <c r="X31" i="38"/>
  <c r="O31" i="38"/>
  <c r="P31" i="38" s="1"/>
  <c r="Q31" i="38" s="1"/>
  <c r="R31" i="38" s="1"/>
  <c r="S31" i="38" s="1"/>
  <c r="X32" i="38"/>
  <c r="O32" i="38"/>
  <c r="P32" i="38" s="1"/>
  <c r="Q32" i="38" s="1"/>
  <c r="R32" i="38" s="1"/>
  <c r="S32" i="38" s="1"/>
  <c r="X33" i="38"/>
  <c r="O33" i="38"/>
  <c r="P33" i="38" s="1"/>
  <c r="Q33" i="38" s="1"/>
  <c r="R33" i="38" s="1"/>
  <c r="S33" i="38" s="1"/>
  <c r="X34" i="38"/>
  <c r="O34" i="38"/>
  <c r="P34" i="38" s="1"/>
  <c r="Q34" i="38" s="1"/>
  <c r="R34" i="38" s="1"/>
  <c r="S34" i="38" s="1"/>
  <c r="X35" i="38"/>
  <c r="O35" i="38"/>
  <c r="P35" i="38" s="1"/>
  <c r="Q35" i="38" s="1"/>
  <c r="R35" i="38" s="1"/>
  <c r="S35" i="38" s="1"/>
  <c r="X36" i="38"/>
  <c r="O36" i="38"/>
  <c r="P36" i="38" s="1"/>
  <c r="Q36" i="38" s="1"/>
  <c r="R36" i="38" s="1"/>
  <c r="S36" i="38" s="1"/>
  <c r="X19" i="38"/>
  <c r="O19" i="38"/>
  <c r="P19" i="38" s="1"/>
  <c r="Q19" i="38" s="1"/>
  <c r="R19" i="38" s="1"/>
  <c r="S19" i="38" s="1"/>
  <c r="X17" i="38"/>
  <c r="W17" i="38"/>
  <c r="V17" i="38"/>
  <c r="U17" i="38"/>
  <c r="T17" i="38"/>
  <c r="H17" i="38"/>
  <c r="I17" i="38" s="1"/>
  <c r="J17" i="38" s="1"/>
  <c r="K17" i="38" s="1"/>
  <c r="L17" i="38" s="1"/>
  <c r="G17" i="38"/>
  <c r="X16" i="38"/>
  <c r="W16" i="38"/>
  <c r="V16" i="38"/>
  <c r="U16" i="38"/>
  <c r="T16" i="38"/>
  <c r="H16" i="38"/>
  <c r="I16" i="38" s="1"/>
  <c r="J16" i="38" s="1"/>
  <c r="K16" i="38" s="1"/>
  <c r="L16" i="38" s="1"/>
  <c r="G16" i="38"/>
  <c r="X13" i="38"/>
  <c r="W13" i="38"/>
  <c r="V13" i="38"/>
  <c r="U13" i="38"/>
  <c r="T13" i="38"/>
  <c r="H13" i="38"/>
  <c r="I13" i="38" s="1"/>
  <c r="J13" i="38" s="1"/>
  <c r="K13" i="38" s="1"/>
  <c r="L13" i="38" s="1"/>
  <c r="G13" i="38"/>
  <c r="X11" i="38"/>
  <c r="W11" i="38"/>
  <c r="V11" i="38"/>
  <c r="U11" i="38"/>
  <c r="T11" i="38"/>
  <c r="H11" i="38"/>
  <c r="I11" i="38" s="1"/>
  <c r="J11" i="38" s="1"/>
  <c r="K11" i="38" s="1"/>
  <c r="L11" i="38" s="1"/>
  <c r="G11" i="38"/>
  <c r="T20" i="38"/>
  <c r="U20" i="38"/>
  <c r="V20" i="38"/>
  <c r="W20" i="38"/>
  <c r="T21" i="38"/>
  <c r="U21" i="38"/>
  <c r="V21" i="38"/>
  <c r="W21" i="38"/>
  <c r="T22" i="38"/>
  <c r="U22" i="38"/>
  <c r="V22" i="38"/>
  <c r="W22" i="38"/>
  <c r="T23" i="38"/>
  <c r="U23" i="38"/>
  <c r="V23" i="38"/>
  <c r="W23" i="38"/>
  <c r="T24" i="38"/>
  <c r="U24" i="38"/>
  <c r="V24" i="38"/>
  <c r="W24" i="38"/>
  <c r="T25" i="38"/>
  <c r="U25" i="38"/>
  <c r="V25" i="38"/>
  <c r="W25" i="38"/>
  <c r="T26" i="38"/>
  <c r="U26" i="38"/>
  <c r="V26" i="38"/>
  <c r="W26" i="38"/>
  <c r="T27" i="38"/>
  <c r="U27" i="38"/>
  <c r="V27" i="38"/>
  <c r="W27" i="38"/>
  <c r="T28" i="38"/>
  <c r="U28" i="38"/>
  <c r="V28" i="38"/>
  <c r="W28" i="38"/>
  <c r="T29" i="38"/>
  <c r="U29" i="38"/>
  <c r="V29" i="38"/>
  <c r="W29" i="38"/>
  <c r="T30" i="38"/>
  <c r="U30" i="38"/>
  <c r="V30" i="38"/>
  <c r="W30" i="38"/>
  <c r="T31" i="38"/>
  <c r="U31" i="38"/>
  <c r="V31" i="38"/>
  <c r="W31" i="38"/>
  <c r="T32" i="38"/>
  <c r="U32" i="38"/>
  <c r="V32" i="38"/>
  <c r="W32" i="38"/>
  <c r="T33" i="38"/>
  <c r="U33" i="38"/>
  <c r="V33" i="38"/>
  <c r="W33" i="38"/>
  <c r="T34" i="38"/>
  <c r="U34" i="38"/>
  <c r="V34" i="38"/>
  <c r="W34" i="38"/>
  <c r="T35" i="38"/>
  <c r="U35" i="38"/>
  <c r="V35" i="38"/>
  <c r="W35" i="38"/>
  <c r="T36" i="38"/>
  <c r="U36" i="38"/>
  <c r="V36" i="38"/>
  <c r="W36" i="38"/>
  <c r="T19" i="38"/>
  <c r="U19" i="38"/>
  <c r="V19" i="38"/>
  <c r="W19" i="38"/>
  <c r="AB37" i="2" l="1"/>
  <c r="K25" i="49" s="1"/>
  <c r="C17" i="48"/>
  <c r="AB17" i="48" s="1"/>
  <c r="C47" i="43"/>
  <c r="L49" i="43" s="1"/>
  <c r="F46" i="50"/>
  <c r="F47" i="50" s="1"/>
  <c r="H40" i="51"/>
  <c r="H41" i="51" s="1"/>
  <c r="E29" i="51" s="1"/>
  <c r="AD29" i="51" s="1"/>
  <c r="T38" i="38"/>
  <c r="K49" i="43"/>
  <c r="O49" i="43"/>
  <c r="N49" i="43"/>
  <c r="U38" i="38"/>
  <c r="B55" i="2"/>
  <c r="M49" i="43" l="1"/>
  <c r="H49" i="43"/>
  <c r="V38" i="38"/>
  <c r="D7" i="23"/>
  <c r="AD41" i="23" s="1"/>
  <c r="B45" i="2"/>
  <c r="AD38" i="23" l="1"/>
  <c r="AD39" i="23"/>
  <c r="AD37" i="23"/>
  <c r="AD36" i="23"/>
  <c r="AD29" i="23"/>
  <c r="AD30" i="23"/>
  <c r="AD31" i="23"/>
  <c r="AD33" i="23"/>
  <c r="AD35" i="23"/>
  <c r="AD27" i="23"/>
  <c r="AD26" i="23"/>
  <c r="AD25" i="23"/>
  <c r="W38" i="38"/>
  <c r="X38" i="38"/>
  <c r="M11" i="32"/>
  <c r="M12" i="32"/>
  <c r="P24" i="23" l="1"/>
  <c r="P23" i="23"/>
  <c r="P22" i="23"/>
  <c r="P21" i="23"/>
  <c r="P20" i="23"/>
  <c r="P19" i="23"/>
  <c r="P18" i="23"/>
  <c r="P17" i="23"/>
  <c r="P16" i="23"/>
  <c r="P15" i="23"/>
  <c r="Q24" i="23"/>
  <c r="Q23" i="23"/>
  <c r="Q22" i="23"/>
  <c r="Q21" i="23"/>
  <c r="Q20" i="23"/>
  <c r="Q19" i="23"/>
  <c r="Q18" i="23"/>
  <c r="Q17" i="23"/>
  <c r="Q16" i="23"/>
  <c r="Q15" i="23"/>
  <c r="H29" i="2"/>
  <c r="N12" i="32"/>
  <c r="P12" i="32" s="1"/>
  <c r="Q12" i="32" s="1"/>
  <c r="F10" i="25" s="1"/>
  <c r="F11" i="25"/>
  <c r="F12" i="25"/>
  <c r="F13" i="25"/>
  <c r="F14" i="25"/>
  <c r="F15" i="25"/>
  <c r="F16" i="25"/>
  <c r="F17" i="25"/>
  <c r="F18" i="25"/>
  <c r="F19" i="25"/>
  <c r="N11" i="32"/>
  <c r="P11" i="32" s="1"/>
  <c r="H5" i="48" l="1"/>
  <c r="H12" i="52"/>
  <c r="AC15" i="23"/>
  <c r="AD15" i="23"/>
  <c r="AC16" i="23"/>
  <c r="AD16" i="23"/>
  <c r="AC17" i="23"/>
  <c r="AD17" i="23"/>
  <c r="AC18" i="23"/>
  <c r="AD18" i="23"/>
  <c r="AC19" i="23"/>
  <c r="AD19" i="23"/>
  <c r="AC20" i="23"/>
  <c r="AD20" i="23"/>
  <c r="AC24" i="23"/>
  <c r="AD24" i="23"/>
  <c r="AC23" i="23"/>
  <c r="AD23" i="23"/>
  <c r="AC21" i="23"/>
  <c r="AD21" i="23"/>
  <c r="AC22" i="23"/>
  <c r="AD22" i="23"/>
  <c r="P39" i="32"/>
  <c r="F20" i="25"/>
  <c r="F21" i="25"/>
  <c r="F22" i="25"/>
  <c r="F23" i="25"/>
  <c r="F24" i="25"/>
  <c r="W11" i="32"/>
  <c r="W12" i="32"/>
  <c r="Q11" i="32"/>
  <c r="S11" i="32"/>
  <c r="G9" i="25" s="1"/>
  <c r="U11" i="32"/>
  <c r="H9" i="25" s="1"/>
  <c r="H24" i="25"/>
  <c r="G24" i="25"/>
  <c r="H23" i="25"/>
  <c r="G23" i="25"/>
  <c r="H22" i="25"/>
  <c r="G22" i="25"/>
  <c r="H21" i="25"/>
  <c r="G21" i="25"/>
  <c r="H19" i="25"/>
  <c r="G19" i="25"/>
  <c r="H18" i="25"/>
  <c r="G18" i="25"/>
  <c r="H17" i="25"/>
  <c r="G17" i="25"/>
  <c r="H16" i="25"/>
  <c r="G16" i="25"/>
  <c r="H15" i="25"/>
  <c r="G15" i="25"/>
  <c r="H14" i="25"/>
  <c r="G14" i="25"/>
  <c r="H13" i="25"/>
  <c r="G13" i="25"/>
  <c r="H12" i="25"/>
  <c r="G12" i="25"/>
  <c r="H11" i="25"/>
  <c r="G11" i="25"/>
  <c r="U12" i="32"/>
  <c r="H10" i="25" s="1"/>
  <c r="S12" i="32"/>
  <c r="G10" i="25" s="1"/>
  <c r="Y11" i="32" l="1"/>
  <c r="P41" i="32"/>
  <c r="D51" i="32" s="1"/>
  <c r="AD47" i="23"/>
  <c r="W39" i="32"/>
  <c r="W41" i="32" s="1"/>
  <c r="AF26" i="23"/>
  <c r="AG26" i="23" s="1"/>
  <c r="Q39" i="32"/>
  <c r="AE26" i="23"/>
  <c r="G20" i="25"/>
  <c r="S39" i="32"/>
  <c r="S41" i="32" s="1"/>
  <c r="H20" i="25"/>
  <c r="U39" i="32"/>
  <c r="U41" i="32" s="1"/>
  <c r="AE24" i="23"/>
  <c r="AE23" i="23"/>
  <c r="AE22" i="23"/>
  <c r="AE21" i="23"/>
  <c r="AE20" i="23"/>
  <c r="AE19" i="23"/>
  <c r="AE18" i="23"/>
  <c r="AE17" i="23"/>
  <c r="AE16" i="23"/>
  <c r="F9" i="25"/>
  <c r="AE15" i="23"/>
  <c r="I12" i="25"/>
  <c r="AF18" i="23"/>
  <c r="I11" i="25"/>
  <c r="AF17" i="23"/>
  <c r="I19" i="25"/>
  <c r="I18" i="25"/>
  <c r="AF24" i="23"/>
  <c r="I17" i="25"/>
  <c r="AF23" i="23"/>
  <c r="I16" i="25"/>
  <c r="AF22" i="23"/>
  <c r="I14" i="25"/>
  <c r="AF20" i="23"/>
  <c r="I13" i="25"/>
  <c r="AF19" i="23"/>
  <c r="I10" i="25"/>
  <c r="AF16" i="23"/>
  <c r="I15" i="25"/>
  <c r="AF21" i="23"/>
  <c r="I9" i="25"/>
  <c r="AF15" i="23"/>
  <c r="I24" i="25"/>
  <c r="I23" i="25"/>
  <c r="I22" i="25"/>
  <c r="I21" i="25"/>
  <c r="I20" i="25"/>
  <c r="Y12" i="32"/>
  <c r="G67" i="51" l="1"/>
  <c r="E73" i="50"/>
  <c r="D73" i="50"/>
  <c r="F67" i="51"/>
  <c r="H67" i="51"/>
  <c r="F73" i="50"/>
  <c r="C9" i="47"/>
  <c r="C10" i="47"/>
  <c r="AF47" i="23"/>
  <c r="AE47" i="23"/>
  <c r="Y39" i="32"/>
  <c r="D73" i="2"/>
  <c r="D29" i="2" s="1"/>
  <c r="G25" i="25"/>
  <c r="E73" i="2"/>
  <c r="H25" i="25"/>
  <c r="I25" i="25"/>
  <c r="F73" i="2"/>
  <c r="Q41" i="32"/>
  <c r="D5" i="48" l="1"/>
  <c r="D12" i="52"/>
  <c r="C13" i="47"/>
  <c r="D21" i="47" s="1"/>
  <c r="C6" i="52"/>
  <c r="D7" i="52"/>
  <c r="C7" i="52"/>
  <c r="E67" i="51"/>
  <c r="C73" i="50"/>
  <c r="C77" i="50" s="1"/>
  <c r="F21" i="51"/>
  <c r="G18" i="47"/>
  <c r="F29" i="50"/>
  <c r="E29" i="50"/>
  <c r="H21" i="51"/>
  <c r="G21" i="51"/>
  <c r="E19" i="47"/>
  <c r="D6" i="47" s="1"/>
  <c r="D28" i="47"/>
  <c r="D19" i="47"/>
  <c r="D22" i="47"/>
  <c r="D27" i="47"/>
  <c r="D20" i="47"/>
  <c r="Y41" i="32"/>
  <c r="F25" i="25"/>
  <c r="C73" i="2"/>
  <c r="E29" i="2"/>
  <c r="D23" i="47" l="1"/>
  <c r="D25" i="47"/>
  <c r="E5" i="48"/>
  <c r="E12" i="52"/>
  <c r="D24" i="47"/>
  <c r="D26" i="47"/>
  <c r="C77" i="2"/>
  <c r="C78" i="10"/>
  <c r="D76" i="2"/>
  <c r="F78" i="10" s="1"/>
  <c r="D76" i="50"/>
  <c r="D77" i="50" s="1"/>
  <c r="F70" i="51"/>
  <c r="J67" i="51"/>
  <c r="H73" i="50"/>
  <c r="H73" i="2"/>
  <c r="AB29" i="50"/>
  <c r="E14" i="49" s="1"/>
  <c r="E21" i="51"/>
  <c r="E71" i="51"/>
  <c r="F19" i="47"/>
  <c r="D7" i="47" s="1"/>
  <c r="C29" i="2"/>
  <c r="C12" i="52" s="1"/>
  <c r="D30" i="2" l="1"/>
  <c r="C5" i="48"/>
  <c r="AD21" i="51"/>
  <c r="D77" i="2"/>
  <c r="F22" i="51"/>
  <c r="F71" i="51"/>
  <c r="G19" i="47"/>
  <c r="E20" i="47" s="1"/>
  <c r="F29" i="2"/>
  <c r="I29" i="2"/>
  <c r="I12" i="52" s="1"/>
  <c r="F5" i="48" l="1"/>
  <c r="F12" i="52"/>
  <c r="D8" i="48"/>
  <c r="D13" i="52"/>
  <c r="J29" i="2"/>
  <c r="J12" i="52" s="1"/>
  <c r="I5" i="48"/>
  <c r="E6" i="47"/>
  <c r="F20" i="47"/>
  <c r="D11" i="25"/>
  <c r="D12" i="25"/>
  <c r="D13" i="25"/>
  <c r="D14" i="25"/>
  <c r="D15" i="25"/>
  <c r="D16" i="25"/>
  <c r="D17" i="25"/>
  <c r="D18" i="25"/>
  <c r="D19" i="25"/>
  <c r="D20" i="25"/>
  <c r="D21" i="25"/>
  <c r="D22" i="25"/>
  <c r="D23" i="25"/>
  <c r="D24" i="25"/>
  <c r="E76" i="2" l="1"/>
  <c r="I78" i="10" s="1"/>
  <c r="E76" i="50"/>
  <c r="E77" i="50" s="1"/>
  <c r="G70" i="51"/>
  <c r="K29" i="2"/>
  <c r="K12" i="52" s="1"/>
  <c r="J5" i="48"/>
  <c r="E7" i="47"/>
  <c r="G20" i="47"/>
  <c r="D10" i="25"/>
  <c r="E10" i="25"/>
  <c r="E11" i="25"/>
  <c r="E12" i="25"/>
  <c r="E13" i="25"/>
  <c r="E14" i="25"/>
  <c r="E15" i="25"/>
  <c r="E16" i="25"/>
  <c r="E17" i="25"/>
  <c r="E18" i="25"/>
  <c r="E19" i="25"/>
  <c r="E20" i="25"/>
  <c r="E21" i="25"/>
  <c r="E22" i="25"/>
  <c r="E23" i="25"/>
  <c r="E24" i="25"/>
  <c r="E9" i="25"/>
  <c r="D9" i="25"/>
  <c r="B9" i="25"/>
  <c r="C9" i="25"/>
  <c r="B2" i="25"/>
  <c r="R16" i="23"/>
  <c r="S16" i="23"/>
  <c r="T16" i="23"/>
  <c r="U16" i="23"/>
  <c r="V16" i="23"/>
  <c r="W16" i="23"/>
  <c r="X16" i="23"/>
  <c r="Y16" i="23"/>
  <c r="Z16" i="23" s="1"/>
  <c r="R17" i="23"/>
  <c r="S17" i="23"/>
  <c r="T17" i="23"/>
  <c r="U17" i="23"/>
  <c r="V17" i="23"/>
  <c r="W17" i="23"/>
  <c r="X17" i="23"/>
  <c r="Y17" i="23"/>
  <c r="R18" i="23"/>
  <c r="S18" i="23"/>
  <c r="T18" i="23"/>
  <c r="U18" i="23"/>
  <c r="V18" i="23"/>
  <c r="W18" i="23"/>
  <c r="X18" i="23"/>
  <c r="Y18" i="23"/>
  <c r="R19" i="23"/>
  <c r="S19" i="23"/>
  <c r="T19" i="23"/>
  <c r="U19" i="23"/>
  <c r="V19" i="23"/>
  <c r="W19" i="23"/>
  <c r="X19" i="23"/>
  <c r="Y19" i="23"/>
  <c r="R20" i="23"/>
  <c r="S20" i="23"/>
  <c r="T20" i="23"/>
  <c r="U20" i="23"/>
  <c r="V20" i="23"/>
  <c r="W20" i="23"/>
  <c r="X20" i="23"/>
  <c r="Y20" i="23"/>
  <c r="R21" i="23"/>
  <c r="S21" i="23"/>
  <c r="T21" i="23"/>
  <c r="U21" i="23"/>
  <c r="V21" i="23"/>
  <c r="W21" i="23"/>
  <c r="X21" i="23"/>
  <c r="Y21" i="23"/>
  <c r="R22" i="23"/>
  <c r="S22" i="23"/>
  <c r="T22" i="23"/>
  <c r="U22" i="23"/>
  <c r="V22" i="23"/>
  <c r="W22" i="23"/>
  <c r="X22" i="23"/>
  <c r="Y22" i="23"/>
  <c r="R23" i="23"/>
  <c r="S23" i="23"/>
  <c r="T23" i="23"/>
  <c r="U23" i="23"/>
  <c r="V23" i="23"/>
  <c r="W23" i="23"/>
  <c r="X23" i="23"/>
  <c r="Y23" i="23"/>
  <c r="Z23" i="23" s="1"/>
  <c r="R24" i="23"/>
  <c r="S24" i="23"/>
  <c r="T24" i="23"/>
  <c r="U24" i="23"/>
  <c r="V24" i="23"/>
  <c r="W24" i="23"/>
  <c r="X24" i="23"/>
  <c r="Y24" i="23"/>
  <c r="Z24" i="23" s="1"/>
  <c r="H16" i="23"/>
  <c r="I16" i="23"/>
  <c r="J16" i="23"/>
  <c r="K16" i="23"/>
  <c r="L16" i="23"/>
  <c r="M16" i="23"/>
  <c r="N16" i="23"/>
  <c r="O16" i="23"/>
  <c r="AH16" i="23" s="1"/>
  <c r="AI16" i="23" s="1"/>
  <c r="H17" i="23"/>
  <c r="I17" i="23"/>
  <c r="J17" i="23"/>
  <c r="K17" i="23"/>
  <c r="L17" i="23"/>
  <c r="M17" i="23"/>
  <c r="N17" i="23"/>
  <c r="O17" i="23"/>
  <c r="AH17" i="23" s="1"/>
  <c r="H18" i="23"/>
  <c r="I18" i="23"/>
  <c r="J18" i="23"/>
  <c r="K18" i="23"/>
  <c r="L18" i="23"/>
  <c r="M18" i="23"/>
  <c r="N18" i="23"/>
  <c r="O18" i="23"/>
  <c r="AH18" i="23" s="1"/>
  <c r="H19" i="23"/>
  <c r="I19" i="23"/>
  <c r="J19" i="23"/>
  <c r="K19" i="23"/>
  <c r="L19" i="23"/>
  <c r="M19" i="23"/>
  <c r="N19" i="23"/>
  <c r="O19" i="23"/>
  <c r="AH19" i="23" s="1"/>
  <c r="H20" i="23"/>
  <c r="I20" i="23"/>
  <c r="J20" i="23"/>
  <c r="K20" i="23"/>
  <c r="L20" i="23"/>
  <c r="M20" i="23"/>
  <c r="N20" i="23"/>
  <c r="O20" i="23"/>
  <c r="AH20" i="23" s="1"/>
  <c r="H21" i="23"/>
  <c r="I21" i="23"/>
  <c r="J21" i="23"/>
  <c r="K21" i="23"/>
  <c r="L21" i="23"/>
  <c r="M21" i="23"/>
  <c r="N21" i="23"/>
  <c r="O21" i="23"/>
  <c r="AH21" i="23" s="1"/>
  <c r="H22" i="23"/>
  <c r="I22" i="23"/>
  <c r="J22" i="23"/>
  <c r="K22" i="23"/>
  <c r="L22" i="23"/>
  <c r="M22" i="23"/>
  <c r="N22" i="23"/>
  <c r="O22" i="23"/>
  <c r="AH22" i="23" s="1"/>
  <c r="H23" i="23"/>
  <c r="I23" i="23"/>
  <c r="J23" i="23"/>
  <c r="K23" i="23"/>
  <c r="L23" i="23"/>
  <c r="M23" i="23"/>
  <c r="N23" i="23"/>
  <c r="O23" i="23"/>
  <c r="H24" i="23"/>
  <c r="I24" i="23"/>
  <c r="J24" i="23"/>
  <c r="K24" i="23"/>
  <c r="L24" i="23"/>
  <c r="M24" i="23"/>
  <c r="N24" i="23"/>
  <c r="O24" i="23"/>
  <c r="E30" i="2" l="1"/>
  <c r="E77" i="2"/>
  <c r="G22" i="51"/>
  <c r="G71" i="51"/>
  <c r="L29" i="2"/>
  <c r="L12" i="52" s="1"/>
  <c r="K5" i="48"/>
  <c r="E21" i="47"/>
  <c r="AH24" i="23"/>
  <c r="AI24" i="23" s="1"/>
  <c r="AH23" i="23"/>
  <c r="AI23" i="23" s="1"/>
  <c r="Z22" i="23"/>
  <c r="AI22" i="23" s="1"/>
  <c r="Z21" i="23"/>
  <c r="AI21" i="23" s="1"/>
  <c r="Z20" i="23"/>
  <c r="AI20" i="23" s="1"/>
  <c r="Z19" i="23"/>
  <c r="AI19" i="23" s="1"/>
  <c r="Z18" i="23"/>
  <c r="AI18" i="23" s="1"/>
  <c r="Z17" i="23"/>
  <c r="E8" i="48" l="1"/>
  <c r="E13" i="52"/>
  <c r="M29" i="2"/>
  <c r="M12" i="52" s="1"/>
  <c r="L5" i="48"/>
  <c r="F21" i="47"/>
  <c r="F6" i="47"/>
  <c r="AI17" i="23"/>
  <c r="N29" i="2" l="1"/>
  <c r="N12" i="52" s="1"/>
  <c r="M5" i="48"/>
  <c r="F76" i="2"/>
  <c r="L78" i="10" s="1"/>
  <c r="H70" i="51"/>
  <c r="F76" i="50"/>
  <c r="F77" i="50" s="1"/>
  <c r="F30" i="2"/>
  <c r="F7" i="47"/>
  <c r="G21" i="47"/>
  <c r="AG24" i="23"/>
  <c r="AG23" i="23"/>
  <c r="AG22" i="23"/>
  <c r="AG21" i="23"/>
  <c r="AG20" i="23"/>
  <c r="AG19" i="23"/>
  <c r="AG18" i="23"/>
  <c r="AG17" i="23"/>
  <c r="AG16" i="23"/>
  <c r="AB16" i="23"/>
  <c r="AB17" i="23"/>
  <c r="AB18" i="23"/>
  <c r="AB19" i="23"/>
  <c r="AB20" i="23"/>
  <c r="AB21" i="23"/>
  <c r="AB22" i="23"/>
  <c r="AB23" i="23"/>
  <c r="AB24" i="23"/>
  <c r="A9" i="25"/>
  <c r="F8" i="48" l="1"/>
  <c r="F13" i="52"/>
  <c r="H22" i="51"/>
  <c r="H71" i="51"/>
  <c r="F77" i="2"/>
  <c r="O29" i="2"/>
  <c r="O12" i="52" s="1"/>
  <c r="N5" i="48"/>
  <c r="E22" i="47"/>
  <c r="X15" i="23"/>
  <c r="W15" i="23"/>
  <c r="V15" i="23"/>
  <c r="U15" i="23"/>
  <c r="Y15" i="23" s="1"/>
  <c r="T15" i="23"/>
  <c r="S15" i="23"/>
  <c r="R15" i="23"/>
  <c r="N15" i="23"/>
  <c r="M15" i="23"/>
  <c r="L15" i="23"/>
  <c r="K15" i="23"/>
  <c r="J15" i="23"/>
  <c r="I15" i="23"/>
  <c r="H15" i="23"/>
  <c r="P29" i="2" l="1"/>
  <c r="P12" i="52" s="1"/>
  <c r="O5" i="48"/>
  <c r="F22" i="47"/>
  <c r="G6" i="47"/>
  <c r="Z15" i="23"/>
  <c r="Z47" i="23" s="1"/>
  <c r="O15" i="23"/>
  <c r="G76" i="2" l="1"/>
  <c r="I70" i="51"/>
  <c r="G76" i="50"/>
  <c r="G77" i="50" s="1"/>
  <c r="Q29" i="2"/>
  <c r="Q12" i="52" s="1"/>
  <c r="P5" i="48"/>
  <c r="G77" i="2"/>
  <c r="G30" i="2"/>
  <c r="G7" i="47"/>
  <c r="G22" i="47"/>
  <c r="AB15" i="23"/>
  <c r="AB47" i="23" s="1"/>
  <c r="AB49" i="23" s="1"/>
  <c r="AH15" i="23"/>
  <c r="AI15" i="23" s="1"/>
  <c r="AI47" i="23" s="1"/>
  <c r="Z49" i="23"/>
  <c r="G8" i="48" l="1"/>
  <c r="G13" i="52"/>
  <c r="R29" i="2"/>
  <c r="R12" i="52" s="1"/>
  <c r="Q5" i="48"/>
  <c r="I22" i="51"/>
  <c r="I71" i="51"/>
  <c r="E23" i="47"/>
  <c r="AI49" i="23"/>
  <c r="AE49" i="23"/>
  <c r="AF49" i="23"/>
  <c r="L56" i="51" l="1"/>
  <c r="J62" i="50"/>
  <c r="C68" i="10"/>
  <c r="L55" i="51"/>
  <c r="J61" i="50"/>
  <c r="S29" i="2"/>
  <c r="S12" i="52" s="1"/>
  <c r="R5" i="48"/>
  <c r="F23" i="47"/>
  <c r="H6" i="47"/>
  <c r="AG15" i="23"/>
  <c r="AD49" i="23"/>
  <c r="J62" i="2"/>
  <c r="H68" i="10"/>
  <c r="J61" i="2"/>
  <c r="J65" i="2" l="1"/>
  <c r="G65" i="2" s="1"/>
  <c r="G34" i="2" s="1"/>
  <c r="G14" i="48" s="1"/>
  <c r="J65" i="50"/>
  <c r="L59" i="51"/>
  <c r="T29" i="2"/>
  <c r="T12" i="52" s="1"/>
  <c r="S5" i="48"/>
  <c r="H76" i="2"/>
  <c r="H77" i="2" s="1"/>
  <c r="H76" i="50"/>
  <c r="H77" i="50" s="1"/>
  <c r="J70" i="51"/>
  <c r="E66" i="50"/>
  <c r="G63" i="50"/>
  <c r="F63" i="50"/>
  <c r="E63" i="50"/>
  <c r="D63" i="50"/>
  <c r="D38" i="50" s="1"/>
  <c r="G64" i="50"/>
  <c r="C63" i="50"/>
  <c r="C38" i="50" s="1"/>
  <c r="AB38" i="50" s="1"/>
  <c r="E25" i="49" s="1"/>
  <c r="F66" i="50"/>
  <c r="G67" i="50"/>
  <c r="H36" i="50" s="1"/>
  <c r="I36" i="50" s="1"/>
  <c r="J36" i="50" s="1"/>
  <c r="K36" i="50" s="1"/>
  <c r="L36" i="50" s="1"/>
  <c r="M36" i="50" s="1"/>
  <c r="N36" i="50" s="1"/>
  <c r="O36" i="50" s="1"/>
  <c r="P36" i="50" s="1"/>
  <c r="Q36" i="50" s="1"/>
  <c r="R36" i="50" s="1"/>
  <c r="S36" i="50" s="1"/>
  <c r="T36" i="50" s="1"/>
  <c r="U36" i="50" s="1"/>
  <c r="V36" i="50" s="1"/>
  <c r="W36" i="50" s="1"/>
  <c r="X36" i="50" s="1"/>
  <c r="Y36" i="50" s="1"/>
  <c r="Z36" i="50" s="1"/>
  <c r="AA36" i="50" s="1"/>
  <c r="E67" i="50"/>
  <c r="G66" i="50"/>
  <c r="C67" i="50"/>
  <c r="C36" i="50" s="1"/>
  <c r="F67" i="50"/>
  <c r="D67" i="50"/>
  <c r="D36" i="50" s="1"/>
  <c r="D39" i="50" s="1"/>
  <c r="D40" i="50" s="1"/>
  <c r="D66" i="50"/>
  <c r="C66" i="50"/>
  <c r="I60" i="51"/>
  <c r="I23" i="51" s="1"/>
  <c r="F61" i="51"/>
  <c r="F57" i="51"/>
  <c r="F30" i="51" s="1"/>
  <c r="F60" i="51"/>
  <c r="F23" i="51" s="1"/>
  <c r="E60" i="51"/>
  <c r="E23" i="51" s="1"/>
  <c r="G60" i="51"/>
  <c r="G23" i="51" s="1"/>
  <c r="E61" i="51"/>
  <c r="I61" i="51"/>
  <c r="I57" i="51"/>
  <c r="I30" i="51" s="1"/>
  <c r="J30" i="51" s="1"/>
  <c r="K30" i="51" s="1"/>
  <c r="L30" i="51" s="1"/>
  <c r="M30" i="51" s="1"/>
  <c r="N30" i="51" s="1"/>
  <c r="O30" i="51" s="1"/>
  <c r="P30" i="51" s="1"/>
  <c r="Q30" i="51" s="1"/>
  <c r="R30" i="51" s="1"/>
  <c r="S30" i="51" s="1"/>
  <c r="T30" i="51" s="1"/>
  <c r="U30" i="51" s="1"/>
  <c r="V30" i="51" s="1"/>
  <c r="W30" i="51" s="1"/>
  <c r="X30" i="51" s="1"/>
  <c r="Y30" i="51" s="1"/>
  <c r="Z30" i="51" s="1"/>
  <c r="AA30" i="51" s="1"/>
  <c r="AB30" i="51" s="1"/>
  <c r="AC30" i="51" s="1"/>
  <c r="G57" i="51"/>
  <c r="G30" i="51" s="1"/>
  <c r="H57" i="51"/>
  <c r="H30" i="51" s="1"/>
  <c r="G61" i="51"/>
  <c r="H61" i="51"/>
  <c r="E57" i="51"/>
  <c r="E30" i="51" s="1"/>
  <c r="H60" i="51"/>
  <c r="H23" i="51" s="1"/>
  <c r="I58" i="51"/>
  <c r="I25" i="51" s="1"/>
  <c r="H7" i="47"/>
  <c r="G23" i="47"/>
  <c r="E24" i="47" s="1"/>
  <c r="AG47" i="23"/>
  <c r="AG49" i="23" s="1"/>
  <c r="G67" i="2"/>
  <c r="G36" i="2" s="1"/>
  <c r="F67" i="2"/>
  <c r="F36" i="2" s="1"/>
  <c r="F16" i="48" s="1"/>
  <c r="E67" i="2"/>
  <c r="E36" i="2" s="1"/>
  <c r="E16" i="48" s="1"/>
  <c r="D67" i="2"/>
  <c r="D36" i="2" s="1"/>
  <c r="D16" i="48" s="1"/>
  <c r="C67" i="2"/>
  <c r="C36" i="2" s="1"/>
  <c r="C16" i="48" s="1"/>
  <c r="D65" i="2"/>
  <c r="D34" i="2" s="1"/>
  <c r="D14" i="48" s="1"/>
  <c r="C65" i="2"/>
  <c r="C34" i="2" s="1"/>
  <c r="C14" i="48" s="1"/>
  <c r="F65" i="2"/>
  <c r="F34" i="2" s="1"/>
  <c r="F14" i="48" s="1"/>
  <c r="E65" i="2"/>
  <c r="C63" i="2"/>
  <c r="C38" i="2" s="1"/>
  <c r="C18" i="48" s="1"/>
  <c r="G64" i="2"/>
  <c r="G33" i="2" s="1"/>
  <c r="D63" i="2"/>
  <c r="D38" i="2" s="1"/>
  <c r="D18" i="48" s="1"/>
  <c r="E63" i="2"/>
  <c r="E38" i="2" s="1"/>
  <c r="E18" i="48" s="1"/>
  <c r="G63" i="2"/>
  <c r="G38" i="2" s="1"/>
  <c r="F63" i="2"/>
  <c r="F38" i="2" s="1"/>
  <c r="F18" i="48" s="1"/>
  <c r="G66" i="2"/>
  <c r="C66" i="2"/>
  <c r="D66" i="2"/>
  <c r="E66" i="2"/>
  <c r="F66" i="2"/>
  <c r="E34" i="2"/>
  <c r="E14" i="48" s="1"/>
  <c r="M68" i="10"/>
  <c r="O78" i="10"/>
  <c r="E28" i="51" l="1"/>
  <c r="E62" i="51"/>
  <c r="F28" i="51"/>
  <c r="AD28" i="51" s="1"/>
  <c r="F62" i="51"/>
  <c r="H30" i="2"/>
  <c r="H28" i="51"/>
  <c r="H62" i="51"/>
  <c r="G28" i="51"/>
  <c r="G62" i="51"/>
  <c r="I28" i="51"/>
  <c r="J28" i="51" s="1"/>
  <c r="K28" i="51" s="1"/>
  <c r="L28" i="51" s="1"/>
  <c r="M28" i="51" s="1"/>
  <c r="N28" i="51" s="1"/>
  <c r="O28" i="51" s="1"/>
  <c r="P28" i="51" s="1"/>
  <c r="Q28" i="51" s="1"/>
  <c r="R28" i="51" s="1"/>
  <c r="S28" i="51" s="1"/>
  <c r="T28" i="51" s="1"/>
  <c r="U28" i="51" s="1"/>
  <c r="V28" i="51" s="1"/>
  <c r="W28" i="51" s="1"/>
  <c r="X28" i="51" s="1"/>
  <c r="Y28" i="51" s="1"/>
  <c r="Z28" i="51" s="1"/>
  <c r="AA28" i="51" s="1"/>
  <c r="AB28" i="51" s="1"/>
  <c r="AC28" i="51" s="1"/>
  <c r="I62" i="51"/>
  <c r="U29" i="2"/>
  <c r="U12" i="52" s="1"/>
  <c r="T5" i="48"/>
  <c r="H27" i="51"/>
  <c r="H24" i="51"/>
  <c r="H59" i="51"/>
  <c r="H26" i="51" s="1"/>
  <c r="F59" i="51"/>
  <c r="F26" i="51" s="1"/>
  <c r="I59" i="51"/>
  <c r="I26" i="51" s="1"/>
  <c r="J26" i="51" s="1"/>
  <c r="K26" i="51" s="1"/>
  <c r="L26" i="51" s="1"/>
  <c r="M26" i="51" s="1"/>
  <c r="N26" i="51" s="1"/>
  <c r="O26" i="51" s="1"/>
  <c r="P26" i="51" s="1"/>
  <c r="Q26" i="51" s="1"/>
  <c r="R26" i="51" s="1"/>
  <c r="S26" i="51" s="1"/>
  <c r="T26" i="51" s="1"/>
  <c r="U26" i="51" s="1"/>
  <c r="V26" i="51" s="1"/>
  <c r="W26" i="51" s="1"/>
  <c r="X26" i="51" s="1"/>
  <c r="Y26" i="51" s="1"/>
  <c r="Z26" i="51" s="1"/>
  <c r="AA26" i="51" s="1"/>
  <c r="AB26" i="51" s="1"/>
  <c r="AC26" i="51" s="1"/>
  <c r="E59" i="51"/>
  <c r="E26" i="51" s="1"/>
  <c r="G59" i="51"/>
  <c r="G26" i="51" s="1"/>
  <c r="AD30" i="51"/>
  <c r="E65" i="50"/>
  <c r="F65" i="50"/>
  <c r="G65" i="50"/>
  <c r="D65" i="50"/>
  <c r="C65" i="50"/>
  <c r="H38" i="2"/>
  <c r="G18" i="48"/>
  <c r="J25" i="51"/>
  <c r="K25" i="51" s="1"/>
  <c r="L25" i="51" s="1"/>
  <c r="M25" i="51" s="1"/>
  <c r="N25" i="51" s="1"/>
  <c r="O25" i="51" s="1"/>
  <c r="F27" i="51"/>
  <c r="F24" i="51"/>
  <c r="C39" i="50"/>
  <c r="AB36" i="50"/>
  <c r="E23" i="49" s="1"/>
  <c r="J22" i="51"/>
  <c r="J71" i="51"/>
  <c r="H36" i="2"/>
  <c r="G16" i="48"/>
  <c r="G27" i="51"/>
  <c r="G24" i="51"/>
  <c r="H33" i="2"/>
  <c r="G13" i="48"/>
  <c r="E27" i="51"/>
  <c r="E31" i="51" s="1"/>
  <c r="E24" i="51"/>
  <c r="I24" i="51"/>
  <c r="I27" i="51"/>
  <c r="J23" i="51"/>
  <c r="F24" i="47"/>
  <c r="I6" i="47"/>
  <c r="C31" i="2"/>
  <c r="C14" i="52" s="1"/>
  <c r="C17" i="52" s="1"/>
  <c r="D31" i="2"/>
  <c r="D14" i="52" s="1"/>
  <c r="D17" i="52" s="1"/>
  <c r="E31" i="2"/>
  <c r="E14" i="52" s="1"/>
  <c r="E17" i="52" s="1"/>
  <c r="F31" i="2"/>
  <c r="G31" i="2"/>
  <c r="G14" i="52" s="1"/>
  <c r="G17" i="52" s="1"/>
  <c r="H34" i="2"/>
  <c r="H14" i="48" s="1"/>
  <c r="F9" i="48" l="1"/>
  <c r="F14" i="52"/>
  <c r="F17" i="52" s="1"/>
  <c r="D32" i="2"/>
  <c r="D10" i="48" s="1"/>
  <c r="H8" i="48"/>
  <c r="H13" i="52"/>
  <c r="H17" i="52" s="1"/>
  <c r="I31" i="51"/>
  <c r="I32" i="51" s="1"/>
  <c r="J24" i="51"/>
  <c r="F31" i="51"/>
  <c r="F32" i="51" s="1"/>
  <c r="G31" i="51"/>
  <c r="G32" i="51" s="1"/>
  <c r="E32" i="51"/>
  <c r="E35" i="2"/>
  <c r="E9" i="48"/>
  <c r="I76" i="2"/>
  <c r="K70" i="51"/>
  <c r="I76" i="50"/>
  <c r="I77" i="50" s="1"/>
  <c r="H31" i="51"/>
  <c r="H32" i="51" s="1"/>
  <c r="D35" i="2"/>
  <c r="D9" i="48"/>
  <c r="I33" i="2"/>
  <c r="H13" i="48"/>
  <c r="I36" i="2"/>
  <c r="H16" i="48"/>
  <c r="I38" i="2"/>
  <c r="H18" i="48"/>
  <c r="AD26" i="51"/>
  <c r="V29" i="2"/>
  <c r="V12" i="52" s="1"/>
  <c r="U5" i="48"/>
  <c r="H31" i="2"/>
  <c r="H14" i="52" s="1"/>
  <c r="G9" i="48"/>
  <c r="C35" i="2"/>
  <c r="C9" i="48"/>
  <c r="C32" i="2"/>
  <c r="C10" i="48" s="1"/>
  <c r="K23" i="51"/>
  <c r="J27" i="51"/>
  <c r="J31" i="51" s="1"/>
  <c r="C40" i="50"/>
  <c r="P25" i="51"/>
  <c r="I77" i="2"/>
  <c r="I30" i="2"/>
  <c r="G24" i="47"/>
  <c r="E25" i="47" s="1"/>
  <c r="I7" i="47"/>
  <c r="E32" i="2"/>
  <c r="E10" i="48" s="1"/>
  <c r="I34" i="2"/>
  <c r="I14" i="48" s="1"/>
  <c r="F35" i="2"/>
  <c r="F32" i="2"/>
  <c r="F10" i="48" s="1"/>
  <c r="I8" i="48" l="1"/>
  <c r="I13" i="52"/>
  <c r="J32" i="51"/>
  <c r="K27" i="51"/>
  <c r="K31" i="51" s="1"/>
  <c r="L23" i="51"/>
  <c r="J36" i="2"/>
  <c r="I16" i="48"/>
  <c r="K22" i="51"/>
  <c r="K24" i="51" s="1"/>
  <c r="K71" i="51"/>
  <c r="I31" i="2"/>
  <c r="I14" i="52" s="1"/>
  <c r="H9" i="48"/>
  <c r="Q25" i="51"/>
  <c r="R25" i="51" s="1"/>
  <c r="S25" i="51" s="1"/>
  <c r="T25" i="51" s="1"/>
  <c r="U25" i="51" s="1"/>
  <c r="V25" i="51" s="1"/>
  <c r="W25" i="51" s="1"/>
  <c r="X25" i="51" s="1"/>
  <c r="Y25" i="51" s="1"/>
  <c r="J38" i="2"/>
  <c r="I18" i="48"/>
  <c r="J33" i="2"/>
  <c r="I13" i="48"/>
  <c r="D39" i="2"/>
  <c r="D15" i="48"/>
  <c r="C41" i="50"/>
  <c r="F39" i="2"/>
  <c r="F15" i="48"/>
  <c r="C39" i="2"/>
  <c r="C15" i="48"/>
  <c r="W29" i="2"/>
  <c r="W12" i="52" s="1"/>
  <c r="V5" i="48"/>
  <c r="E39" i="2"/>
  <c r="E35" i="50"/>
  <c r="E15" i="48"/>
  <c r="E33" i="51"/>
  <c r="F25" i="47"/>
  <c r="J6" i="47"/>
  <c r="J34" i="2"/>
  <c r="J14" i="48" s="1"/>
  <c r="G32" i="2"/>
  <c r="G10" i="48" s="1"/>
  <c r="G35" i="2"/>
  <c r="E19" i="48" l="1"/>
  <c r="E8" i="52"/>
  <c r="E9" i="52" s="1"/>
  <c r="E18" i="52" s="1"/>
  <c r="D19" i="48"/>
  <c r="D8" i="52"/>
  <c r="D9" i="52" s="1"/>
  <c r="D18" i="52" s="1"/>
  <c r="I17" i="52"/>
  <c r="C19" i="48"/>
  <c r="C8" i="52"/>
  <c r="C9" i="52" s="1"/>
  <c r="C18" i="52" s="1"/>
  <c r="C19" i="52" s="1"/>
  <c r="F19" i="48"/>
  <c r="F8" i="52"/>
  <c r="F9" i="52" s="1"/>
  <c r="F18" i="52" s="1"/>
  <c r="G39" i="2"/>
  <c r="G15" i="48"/>
  <c r="Z25" i="51"/>
  <c r="AA25" i="51" s="1"/>
  <c r="AB25" i="51" s="1"/>
  <c r="J31" i="2"/>
  <c r="J14" i="52" s="1"/>
  <c r="I9" i="48"/>
  <c r="K32" i="51"/>
  <c r="K33" i="2"/>
  <c r="J13" i="48"/>
  <c r="F35" i="50"/>
  <c r="E32" i="50"/>
  <c r="E39" i="50"/>
  <c r="X29" i="2"/>
  <c r="X12" i="52" s="1"/>
  <c r="W5" i="48"/>
  <c r="D41" i="50"/>
  <c r="D42" i="50" s="1"/>
  <c r="F33" i="51"/>
  <c r="K36" i="2"/>
  <c r="J16" i="48"/>
  <c r="J76" i="2"/>
  <c r="J30" i="2" s="1"/>
  <c r="L70" i="51"/>
  <c r="J76" i="50"/>
  <c r="J77" i="50" s="1"/>
  <c r="K38" i="2"/>
  <c r="J18" i="48"/>
  <c r="M23" i="51"/>
  <c r="L27" i="51"/>
  <c r="L31" i="51" s="1"/>
  <c r="G25" i="47"/>
  <c r="E26" i="47" s="1"/>
  <c r="J7" i="47"/>
  <c r="K34" i="2"/>
  <c r="K14" i="48" s="1"/>
  <c r="H35" i="2"/>
  <c r="H32" i="2"/>
  <c r="H10" i="48" s="1"/>
  <c r="J8" i="48" l="1"/>
  <c r="J13" i="52"/>
  <c r="J17" i="52" s="1"/>
  <c r="J77" i="2"/>
  <c r="G19" i="48"/>
  <c r="G8" i="52"/>
  <c r="G9" i="52" s="1"/>
  <c r="G18" i="52" s="1"/>
  <c r="D19" i="52"/>
  <c r="E19" i="52" s="1"/>
  <c r="F19" i="52" s="1"/>
  <c r="G19" i="52" s="1"/>
  <c r="L38" i="2"/>
  <c r="K18" i="48"/>
  <c r="Y29" i="2"/>
  <c r="Y12" i="52" s="1"/>
  <c r="X5" i="48"/>
  <c r="AC25" i="51"/>
  <c r="M27" i="51"/>
  <c r="M31" i="51" s="1"/>
  <c r="N23" i="51"/>
  <c r="L36" i="2"/>
  <c r="K16" i="48"/>
  <c r="K31" i="2"/>
  <c r="K14" i="52" s="1"/>
  <c r="J9" i="48"/>
  <c r="H39" i="2"/>
  <c r="H15" i="48"/>
  <c r="L22" i="51"/>
  <c r="L24" i="51" s="1"/>
  <c r="L32" i="51" s="1"/>
  <c r="L71" i="51"/>
  <c r="F34" i="51"/>
  <c r="G33" i="51"/>
  <c r="E33" i="50"/>
  <c r="E40" i="50" s="1"/>
  <c r="L33" i="2"/>
  <c r="K13" i="48"/>
  <c r="F32" i="50"/>
  <c r="F33" i="50" s="1"/>
  <c r="G35" i="50"/>
  <c r="F39" i="50"/>
  <c r="F40" i="50" s="1"/>
  <c r="F26" i="47"/>
  <c r="K6" i="47"/>
  <c r="L34" i="2"/>
  <c r="L14" i="48" s="1"/>
  <c r="I35" i="2"/>
  <c r="I32" i="2"/>
  <c r="I10" i="48" s="1"/>
  <c r="H19" i="48" l="1"/>
  <c r="H8" i="52"/>
  <c r="H9" i="52" s="1"/>
  <c r="H18" i="52" s="1"/>
  <c r="H19" i="52"/>
  <c r="I39" i="2"/>
  <c r="I15" i="48"/>
  <c r="G34" i="51"/>
  <c r="H33" i="51"/>
  <c r="O23" i="51"/>
  <c r="N27" i="51"/>
  <c r="N31" i="51" s="1"/>
  <c r="F41" i="50"/>
  <c r="F42" i="50" s="1"/>
  <c r="M33" i="2"/>
  <c r="L13" i="48"/>
  <c r="E41" i="50"/>
  <c r="Z29" i="2"/>
  <c r="Z12" i="52" s="1"/>
  <c r="Y5" i="48"/>
  <c r="H35" i="50"/>
  <c r="G32" i="50"/>
  <c r="G33" i="50" s="1"/>
  <c r="G39" i="50"/>
  <c r="AD25" i="51"/>
  <c r="K76" i="2"/>
  <c r="K30" i="2" s="1"/>
  <c r="M70" i="51"/>
  <c r="K76" i="50"/>
  <c r="K77" i="50" s="1"/>
  <c r="L31" i="2"/>
  <c r="L14" i="52" s="1"/>
  <c r="K9" i="48"/>
  <c r="M36" i="2"/>
  <c r="L16" i="48"/>
  <c r="M38" i="2"/>
  <c r="L18" i="48"/>
  <c r="K77" i="2"/>
  <c r="G26" i="47"/>
  <c r="E27" i="47" s="1"/>
  <c r="K7" i="47"/>
  <c r="M34" i="2"/>
  <c r="M14" i="48" s="1"/>
  <c r="J35" i="2"/>
  <c r="J32" i="2"/>
  <c r="J10" i="48" s="1"/>
  <c r="K8" i="48" l="1"/>
  <c r="K13" i="52"/>
  <c r="K17" i="52" s="1"/>
  <c r="I19" i="48"/>
  <c r="I8" i="52"/>
  <c r="I9" i="52" s="1"/>
  <c r="I18" i="52" s="1"/>
  <c r="I19" i="52" s="1"/>
  <c r="M22" i="51"/>
  <c r="M24" i="51" s="1"/>
  <c r="M32" i="51" s="1"/>
  <c r="M71" i="51"/>
  <c r="I35" i="50"/>
  <c r="H32" i="50"/>
  <c r="H39" i="50"/>
  <c r="H34" i="51"/>
  <c r="I33" i="51"/>
  <c r="M31" i="2"/>
  <c r="M14" i="52" s="1"/>
  <c r="L9" i="48"/>
  <c r="N33" i="2"/>
  <c r="M13" i="48"/>
  <c r="O27" i="51"/>
  <c r="O31" i="51" s="1"/>
  <c r="P23" i="51"/>
  <c r="N38" i="2"/>
  <c r="M18" i="48"/>
  <c r="G40" i="50"/>
  <c r="AA29" i="2"/>
  <c r="Z5" i="48"/>
  <c r="J39" i="2"/>
  <c r="J15" i="48"/>
  <c r="AB29" i="2"/>
  <c r="K14" i="49" s="1"/>
  <c r="K15" i="49" s="1"/>
  <c r="N36" i="2"/>
  <c r="M16" i="48"/>
  <c r="E42" i="50"/>
  <c r="F27" i="47"/>
  <c r="L6" i="47"/>
  <c r="N34" i="2"/>
  <c r="N14" i="48" s="1"/>
  <c r="K35" i="2"/>
  <c r="K32" i="2"/>
  <c r="K10" i="48" s="1"/>
  <c r="AA5" i="48" l="1"/>
  <c r="AB5" i="48" s="1"/>
  <c r="AA12" i="52"/>
  <c r="J19" i="48"/>
  <c r="J8" i="52"/>
  <c r="J9" i="52" s="1"/>
  <c r="J18" i="52" s="1"/>
  <c r="J19" i="52" s="1"/>
  <c r="L76" i="2"/>
  <c r="L77" i="2" s="1"/>
  <c r="L76" i="50"/>
  <c r="L77" i="50" s="1"/>
  <c r="N70" i="51"/>
  <c r="O38" i="2"/>
  <c r="N18" i="48"/>
  <c r="O33" i="2"/>
  <c r="N13" i="48"/>
  <c r="I34" i="51"/>
  <c r="J33" i="51"/>
  <c r="H33" i="50"/>
  <c r="H40" i="50" s="1"/>
  <c r="K39" i="2"/>
  <c r="K15" i="48"/>
  <c r="G41" i="50"/>
  <c r="P27" i="51"/>
  <c r="P31" i="51" s="1"/>
  <c r="P24" i="51"/>
  <c r="Q23" i="51"/>
  <c r="J35" i="50"/>
  <c r="I32" i="50"/>
  <c r="I33" i="50" s="1"/>
  <c r="I39" i="50"/>
  <c r="I40" i="50" s="1"/>
  <c r="O36" i="2"/>
  <c r="N16" i="48"/>
  <c r="N31" i="2"/>
  <c r="N14" i="52" s="1"/>
  <c r="N17" i="52" s="1"/>
  <c r="M9" i="48"/>
  <c r="G27" i="47"/>
  <c r="E28" i="47" s="1"/>
  <c r="L7" i="47"/>
  <c r="O34" i="2"/>
  <c r="O14" i="48" s="1"/>
  <c r="L35" i="2"/>
  <c r="K19" i="48" l="1"/>
  <c r="K8" i="52"/>
  <c r="K9" i="52" s="1"/>
  <c r="K18" i="52" s="1"/>
  <c r="K19" i="52" s="1"/>
  <c r="L30" i="2"/>
  <c r="L13" i="52" s="1"/>
  <c r="L17" i="52" s="1"/>
  <c r="H41" i="50"/>
  <c r="H42" i="50" s="1"/>
  <c r="L39" i="2"/>
  <c r="L15" i="48"/>
  <c r="L32" i="2"/>
  <c r="L10" i="48" s="1"/>
  <c r="L8" i="48"/>
  <c r="I41" i="50"/>
  <c r="I42" i="50" s="1"/>
  <c r="G42" i="50"/>
  <c r="P32" i="51"/>
  <c r="J34" i="51"/>
  <c r="K33" i="51"/>
  <c r="P36" i="2"/>
  <c r="O16" i="48"/>
  <c r="K35" i="50"/>
  <c r="J32" i="50"/>
  <c r="J33" i="50" s="1"/>
  <c r="J39" i="50"/>
  <c r="J40" i="50" s="1"/>
  <c r="P38" i="2"/>
  <c r="O18" i="48"/>
  <c r="N22" i="51"/>
  <c r="N24" i="51" s="1"/>
  <c r="N32" i="51" s="1"/>
  <c r="N71" i="51"/>
  <c r="O31" i="2"/>
  <c r="O14" i="52" s="1"/>
  <c r="O17" i="52" s="1"/>
  <c r="N9" i="48"/>
  <c r="Q27" i="51"/>
  <c r="Q31" i="51" s="1"/>
  <c r="R23" i="51"/>
  <c r="Q24" i="51"/>
  <c r="P33" i="2"/>
  <c r="O13" i="48"/>
  <c r="F28" i="47"/>
  <c r="M6" i="47"/>
  <c r="P34" i="2"/>
  <c r="P14" i="48" s="1"/>
  <c r="M35" i="2"/>
  <c r="L19" i="48" l="1"/>
  <c r="L8" i="52"/>
  <c r="L9" i="52" s="1"/>
  <c r="L18" i="52" s="1"/>
  <c r="L19" i="52" s="1"/>
  <c r="L35" i="50"/>
  <c r="K32" i="50"/>
  <c r="K39" i="50"/>
  <c r="M39" i="2"/>
  <c r="M15" i="48"/>
  <c r="P31" i="2"/>
  <c r="P14" i="52" s="1"/>
  <c r="P17" i="52" s="1"/>
  <c r="O9" i="48"/>
  <c r="Q38" i="2"/>
  <c r="P18" i="48"/>
  <c r="Q33" i="2"/>
  <c r="P13" i="48"/>
  <c r="R24" i="51"/>
  <c r="S23" i="51"/>
  <c r="R27" i="51"/>
  <c r="R31" i="51" s="1"/>
  <c r="J41" i="50"/>
  <c r="J42" i="50" s="1"/>
  <c r="Q36" i="2"/>
  <c r="P16" i="48"/>
  <c r="M76" i="2"/>
  <c r="O70" i="51"/>
  <c r="M76" i="50"/>
  <c r="M77" i="50" s="1"/>
  <c r="Q32" i="51"/>
  <c r="K34" i="51"/>
  <c r="L33" i="51"/>
  <c r="M77" i="2"/>
  <c r="M30" i="2"/>
  <c r="G28" i="47"/>
  <c r="M7" i="47"/>
  <c r="Q34" i="2"/>
  <c r="Q14" i="48" s="1"/>
  <c r="N35" i="2"/>
  <c r="N32" i="2"/>
  <c r="N10" i="48" s="1"/>
  <c r="M8" i="48" l="1"/>
  <c r="AB8" i="48" s="1"/>
  <c r="M13" i="52"/>
  <c r="M17" i="52" s="1"/>
  <c r="M19" i="48"/>
  <c r="M8" i="52"/>
  <c r="M9" i="52" s="1"/>
  <c r="R32" i="51"/>
  <c r="N39" i="2"/>
  <c r="N15" i="48"/>
  <c r="R38" i="2"/>
  <c r="Q18" i="48"/>
  <c r="R33" i="2"/>
  <c r="Q13" i="48"/>
  <c r="L34" i="51"/>
  <c r="M33" i="51"/>
  <c r="O22" i="51"/>
  <c r="O71" i="51"/>
  <c r="S27" i="51"/>
  <c r="S31" i="51" s="1"/>
  <c r="T23" i="51"/>
  <c r="S24" i="51"/>
  <c r="Q31" i="2"/>
  <c r="Q14" i="52" s="1"/>
  <c r="Q17" i="52" s="1"/>
  <c r="P9" i="48"/>
  <c r="K33" i="50"/>
  <c r="K40" i="50" s="1"/>
  <c r="R36" i="2"/>
  <c r="Q16" i="48"/>
  <c r="M35" i="50"/>
  <c r="L32" i="50"/>
  <c r="L33" i="50" s="1"/>
  <c r="L39" i="50"/>
  <c r="L40" i="50" s="1"/>
  <c r="AB30" i="2"/>
  <c r="K17" i="49" s="1"/>
  <c r="M32" i="2"/>
  <c r="M10" i="48" s="1"/>
  <c r="R34" i="2"/>
  <c r="R14" i="48" s="1"/>
  <c r="O35" i="2"/>
  <c r="O32" i="2"/>
  <c r="O10" i="48" s="1"/>
  <c r="N19" i="48" l="1"/>
  <c r="N8" i="52"/>
  <c r="N9" i="52" s="1"/>
  <c r="N18" i="52" s="1"/>
  <c r="S32" i="51"/>
  <c r="M18" i="52"/>
  <c r="M19" i="52" s="1"/>
  <c r="N19" i="52" s="1"/>
  <c r="K41" i="50"/>
  <c r="K42" i="50" s="1"/>
  <c r="N35" i="50"/>
  <c r="M32" i="50"/>
  <c r="M33" i="50" s="1"/>
  <c r="M39" i="50"/>
  <c r="U23" i="51"/>
  <c r="T27" i="51"/>
  <c r="T31" i="51" s="1"/>
  <c r="T24" i="51"/>
  <c r="M34" i="51"/>
  <c r="N33" i="51"/>
  <c r="N34" i="51" s="1"/>
  <c r="S33" i="2"/>
  <c r="R13" i="48"/>
  <c r="S38" i="2"/>
  <c r="R18" i="48"/>
  <c r="O39" i="2"/>
  <c r="O15" i="48"/>
  <c r="L41" i="50"/>
  <c r="L42" i="50" s="1"/>
  <c r="S36" i="2"/>
  <c r="R16" i="48"/>
  <c r="R31" i="2"/>
  <c r="R14" i="52" s="1"/>
  <c r="R17" i="52" s="1"/>
  <c r="Q9" i="48"/>
  <c r="O24" i="51"/>
  <c r="O32" i="51" s="1"/>
  <c r="O33" i="51" s="1"/>
  <c r="AD22" i="51"/>
  <c r="S34" i="2"/>
  <c r="S14" i="48" s="1"/>
  <c r="P35" i="2"/>
  <c r="P32" i="2"/>
  <c r="P10" i="48" s="1"/>
  <c r="O19" i="48" l="1"/>
  <c r="O8" i="52"/>
  <c r="O9" i="52" s="1"/>
  <c r="O18" i="52" s="1"/>
  <c r="O19" i="52" s="1"/>
  <c r="O34" i="51"/>
  <c r="P33" i="51"/>
  <c r="T36" i="2"/>
  <c r="S16" i="48"/>
  <c r="T33" i="2"/>
  <c r="S13" i="48"/>
  <c r="T32" i="51"/>
  <c r="O35" i="50"/>
  <c r="N32" i="50"/>
  <c r="N33" i="50" s="1"/>
  <c r="N39" i="50"/>
  <c r="P39" i="2"/>
  <c r="P15" i="48"/>
  <c r="V23" i="51"/>
  <c r="U24" i="51"/>
  <c r="U27" i="51"/>
  <c r="U31" i="51" s="1"/>
  <c r="U32" i="51" s="1"/>
  <c r="S31" i="2"/>
  <c r="S14" i="52" s="1"/>
  <c r="S17" i="52" s="1"/>
  <c r="R9" i="48"/>
  <c r="T38" i="2"/>
  <c r="S18" i="48"/>
  <c r="M40" i="50"/>
  <c r="M41" i="50" s="1"/>
  <c r="M42" i="50" s="1"/>
  <c r="T34" i="2"/>
  <c r="T14" i="48" s="1"/>
  <c r="Q35" i="2"/>
  <c r="Q32" i="2"/>
  <c r="Q10" i="48" s="1"/>
  <c r="P19" i="48" l="1"/>
  <c r="P8" i="52"/>
  <c r="P9" i="52" s="1"/>
  <c r="P18" i="52" s="1"/>
  <c r="P19" i="52" s="1"/>
  <c r="N40" i="50"/>
  <c r="T31" i="2"/>
  <c r="T14" i="52" s="1"/>
  <c r="T17" i="52" s="1"/>
  <c r="S9" i="48"/>
  <c r="P35" i="50"/>
  <c r="O32" i="50"/>
  <c r="O33" i="50" s="1"/>
  <c r="O39" i="50"/>
  <c r="U36" i="2"/>
  <c r="T16" i="48"/>
  <c r="Q39" i="2"/>
  <c r="Q15" i="48"/>
  <c r="U38" i="2"/>
  <c r="T18" i="48"/>
  <c r="N41" i="50"/>
  <c r="N42" i="50" s="1"/>
  <c r="P34" i="51"/>
  <c r="Q33" i="51"/>
  <c r="V27" i="51"/>
  <c r="V31" i="51" s="1"/>
  <c r="W23" i="51"/>
  <c r="V24" i="51"/>
  <c r="U33" i="2"/>
  <c r="T13" i="48"/>
  <c r="U34" i="2"/>
  <c r="U14" i="48" s="1"/>
  <c r="R35" i="2"/>
  <c r="R32" i="2"/>
  <c r="R10" i="48" s="1"/>
  <c r="Q19" i="48" l="1"/>
  <c r="Q8" i="52"/>
  <c r="Q9" i="52" s="1"/>
  <c r="Q18" i="52" s="1"/>
  <c r="Q19" i="52" s="1"/>
  <c r="V33" i="2"/>
  <c r="U13" i="48"/>
  <c r="Q34" i="51"/>
  <c r="R33" i="51"/>
  <c r="V38" i="2"/>
  <c r="U18" i="48"/>
  <c r="V36" i="2"/>
  <c r="U16" i="48"/>
  <c r="R39" i="2"/>
  <c r="R15" i="48"/>
  <c r="Q35" i="50"/>
  <c r="P32" i="50"/>
  <c r="P33" i="50" s="1"/>
  <c r="P39" i="50"/>
  <c r="W24" i="51"/>
  <c r="W27" i="51"/>
  <c r="W31" i="51" s="1"/>
  <c r="W32" i="51" s="1"/>
  <c r="X23" i="51"/>
  <c r="V32" i="51"/>
  <c r="O40" i="50"/>
  <c r="O41" i="50" s="1"/>
  <c r="O42" i="50" s="1"/>
  <c r="U31" i="2"/>
  <c r="U14" i="52" s="1"/>
  <c r="U17" i="52" s="1"/>
  <c r="T9" i="48"/>
  <c r="V34" i="2"/>
  <c r="V14" i="48" s="1"/>
  <c r="S35" i="2"/>
  <c r="S32" i="2"/>
  <c r="S10" i="48" s="1"/>
  <c r="R19" i="48" l="1"/>
  <c r="R8" i="52"/>
  <c r="R9" i="52" s="1"/>
  <c r="R18" i="52" s="1"/>
  <c r="R19" i="52" s="1"/>
  <c r="X27" i="51"/>
  <c r="X31" i="51" s="1"/>
  <c r="Y23" i="51"/>
  <c r="X24" i="51"/>
  <c r="R34" i="51"/>
  <c r="S33" i="51"/>
  <c r="V31" i="2"/>
  <c r="V14" i="52" s="1"/>
  <c r="V17" i="52" s="1"/>
  <c r="U9" i="48"/>
  <c r="R35" i="50"/>
  <c r="Q32" i="50"/>
  <c r="Q33" i="50" s="1"/>
  <c r="Q39" i="50"/>
  <c r="W36" i="2"/>
  <c r="V16" i="48"/>
  <c r="S39" i="2"/>
  <c r="S15" i="48"/>
  <c r="P40" i="50"/>
  <c r="P41" i="50" s="1"/>
  <c r="P42" i="50" s="1"/>
  <c r="W38" i="2"/>
  <c r="V18" i="48"/>
  <c r="W33" i="2"/>
  <c r="V13" i="48"/>
  <c r="W34" i="2"/>
  <c r="W14" i="48" s="1"/>
  <c r="T35" i="2"/>
  <c r="T32" i="2"/>
  <c r="T10" i="48" s="1"/>
  <c r="S19" i="48" l="1"/>
  <c r="S8" i="52"/>
  <c r="S9" i="52" s="1"/>
  <c r="S18" i="52" s="1"/>
  <c r="S19" i="52" s="1"/>
  <c r="Q40" i="50"/>
  <c r="Q41" i="50" s="1"/>
  <c r="Q42" i="50" s="1"/>
  <c r="X33" i="2"/>
  <c r="W13" i="48"/>
  <c r="X36" i="2"/>
  <c r="W16" i="48"/>
  <c r="T39" i="2"/>
  <c r="T15" i="48"/>
  <c r="X38" i="2"/>
  <c r="W18" i="48"/>
  <c r="W31" i="2"/>
  <c r="W14" i="52" s="1"/>
  <c r="W17" i="52" s="1"/>
  <c r="V9" i="48"/>
  <c r="Y27" i="51"/>
  <c r="Y31" i="51" s="1"/>
  <c r="Z23" i="51"/>
  <c r="Y24" i="51"/>
  <c r="S35" i="50"/>
  <c r="R32" i="50"/>
  <c r="R33" i="50" s="1"/>
  <c r="R39" i="50"/>
  <c r="R40" i="50" s="1"/>
  <c r="R41" i="50" s="1"/>
  <c r="R42" i="50" s="1"/>
  <c r="S34" i="51"/>
  <c r="T33" i="51"/>
  <c r="X32" i="51"/>
  <c r="X34" i="2"/>
  <c r="X14" i="48" s="1"/>
  <c r="U35" i="2"/>
  <c r="U32" i="2"/>
  <c r="U10" i="48" s="1"/>
  <c r="T19" i="48" l="1"/>
  <c r="T8" i="52"/>
  <c r="T9" i="52" s="1"/>
  <c r="T18" i="52" s="1"/>
  <c r="T19" i="52" s="1"/>
  <c r="Y32" i="51"/>
  <c r="Z27" i="51"/>
  <c r="Z31" i="51" s="1"/>
  <c r="Z24" i="51"/>
  <c r="AA23" i="51"/>
  <c r="Y38" i="2"/>
  <c r="X18" i="48"/>
  <c r="Y36" i="2"/>
  <c r="X16" i="48"/>
  <c r="T34" i="51"/>
  <c r="U33" i="51"/>
  <c r="T35" i="50"/>
  <c r="S32" i="50"/>
  <c r="S33" i="50" s="1"/>
  <c r="S39" i="50"/>
  <c r="S40" i="50" s="1"/>
  <c r="S41" i="50" s="1"/>
  <c r="S42" i="50" s="1"/>
  <c r="U39" i="2"/>
  <c r="U15" i="48"/>
  <c r="X31" i="2"/>
  <c r="X14" i="52" s="1"/>
  <c r="X17" i="52" s="1"/>
  <c r="W9" i="48"/>
  <c r="Y33" i="2"/>
  <c r="X13" i="48"/>
  <c r="Y34" i="2"/>
  <c r="Y14" i="48" s="1"/>
  <c r="V35" i="2"/>
  <c r="V32" i="2"/>
  <c r="V10" i="48" s="1"/>
  <c r="U19" i="48" l="1"/>
  <c r="U8" i="52"/>
  <c r="U9" i="52" s="1"/>
  <c r="U18" i="52" s="1"/>
  <c r="U19" i="52" s="1"/>
  <c r="V19" i="52" s="1"/>
  <c r="U35" i="50"/>
  <c r="T32" i="50"/>
  <c r="T33" i="50" s="1"/>
  <c r="T39" i="50"/>
  <c r="T40" i="50" s="1"/>
  <c r="T41" i="50" s="1"/>
  <c r="T42" i="50" s="1"/>
  <c r="Z36" i="2"/>
  <c r="Y16" i="48"/>
  <c r="Z33" i="2"/>
  <c r="Y13" i="48"/>
  <c r="U34" i="51"/>
  <c r="V33" i="51"/>
  <c r="AA27" i="51"/>
  <c r="AA31" i="51" s="1"/>
  <c r="AB23" i="51"/>
  <c r="AA24" i="51"/>
  <c r="V39" i="2"/>
  <c r="V8" i="52" s="1"/>
  <c r="V9" i="52" s="1"/>
  <c r="V18" i="52" s="1"/>
  <c r="V15" i="48"/>
  <c r="Z38" i="2"/>
  <c r="Y18" i="48"/>
  <c r="Y31" i="2"/>
  <c r="Y14" i="52" s="1"/>
  <c r="Y17" i="52" s="1"/>
  <c r="X9" i="48"/>
  <c r="Z32" i="51"/>
  <c r="Z34" i="2"/>
  <c r="Z14" i="48" s="1"/>
  <c r="W35" i="2"/>
  <c r="W32" i="2"/>
  <c r="W10" i="48" s="1"/>
  <c r="AA36" i="2" l="1"/>
  <c r="AA16" i="48" s="1"/>
  <c r="Z16" i="48"/>
  <c r="Z18" i="48"/>
  <c r="AA38" i="2"/>
  <c r="AB24" i="51"/>
  <c r="AC23" i="51"/>
  <c r="AB27" i="51"/>
  <c r="AB31" i="51" s="1"/>
  <c r="AB32" i="51" s="1"/>
  <c r="AA32" i="51"/>
  <c r="AA33" i="2"/>
  <c r="AA13" i="48" s="1"/>
  <c r="Z13" i="48"/>
  <c r="W39" i="2"/>
  <c r="W15" i="48"/>
  <c r="Z31" i="2"/>
  <c r="Z14" i="52" s="1"/>
  <c r="Z17" i="52" s="1"/>
  <c r="Y9" i="48"/>
  <c r="E27" i="49"/>
  <c r="V19" i="48"/>
  <c r="V34" i="51"/>
  <c r="W33" i="51"/>
  <c r="V35" i="50"/>
  <c r="U32" i="50"/>
  <c r="U33" i="50" s="1"/>
  <c r="U39" i="50"/>
  <c r="U40" i="50" s="1"/>
  <c r="U41" i="50" s="1"/>
  <c r="U42" i="50" s="1"/>
  <c r="AA34" i="2"/>
  <c r="AA14" i="48" s="1"/>
  <c r="AB14" i="48" s="1"/>
  <c r="X35" i="2"/>
  <c r="X32" i="2"/>
  <c r="X10" i="48" s="1"/>
  <c r="W19" i="48" l="1"/>
  <c r="W8" i="52"/>
  <c r="W9" i="52" s="1"/>
  <c r="W18" i="52" s="1"/>
  <c r="W19" i="52" s="1"/>
  <c r="X39" i="2"/>
  <c r="X15" i="48"/>
  <c r="W35" i="50"/>
  <c r="V32" i="50"/>
  <c r="V33" i="50" s="1"/>
  <c r="V39" i="50"/>
  <c r="W34" i="51"/>
  <c r="X33" i="51"/>
  <c r="AC24" i="51"/>
  <c r="AD24" i="51" s="1"/>
  <c r="AC27" i="51"/>
  <c r="AD23" i="51"/>
  <c r="AA31" i="2"/>
  <c r="Z9" i="48"/>
  <c r="AB13" i="48"/>
  <c r="AB38" i="2"/>
  <c r="K26" i="49" s="1"/>
  <c r="AA18" i="48"/>
  <c r="AB18" i="48" s="1"/>
  <c r="AB16" i="48"/>
  <c r="AB34" i="2"/>
  <c r="K22" i="49" s="1"/>
  <c r="Y35" i="2"/>
  <c r="Y32" i="2"/>
  <c r="Y10" i="48" s="1"/>
  <c r="X19" i="48" l="1"/>
  <c r="X8" i="52"/>
  <c r="X9" i="52" s="1"/>
  <c r="X18" i="52" s="1"/>
  <c r="X19" i="52"/>
  <c r="AA9" i="48"/>
  <c r="AB9" i="48" s="1"/>
  <c r="AA14" i="52"/>
  <c r="AA17" i="52" s="1"/>
  <c r="AD27" i="51"/>
  <c r="AC31" i="51"/>
  <c r="X35" i="50"/>
  <c r="W32" i="50"/>
  <c r="W33" i="50" s="1"/>
  <c r="W39" i="50"/>
  <c r="Y39" i="2"/>
  <c r="Y15" i="48"/>
  <c r="X34" i="51"/>
  <c r="Y33" i="51"/>
  <c r="V40" i="50"/>
  <c r="V41" i="50" s="1"/>
  <c r="V42" i="50" s="1"/>
  <c r="Z35" i="2"/>
  <c r="Z32" i="2"/>
  <c r="Z10" i="48" s="1"/>
  <c r="AB31" i="2"/>
  <c r="K18" i="49" s="1"/>
  <c r="Y19" i="48" l="1"/>
  <c r="Y8" i="52"/>
  <c r="Y9" i="52" s="1"/>
  <c r="Y18" i="52" s="1"/>
  <c r="Y19" i="52"/>
  <c r="Z39" i="2"/>
  <c r="Z15" i="48"/>
  <c r="Y35" i="50"/>
  <c r="X32" i="50"/>
  <c r="X33" i="50" s="1"/>
  <c r="X39" i="50"/>
  <c r="Y34" i="51"/>
  <c r="Z33" i="51"/>
  <c r="AC32" i="51"/>
  <c r="D13" i="51"/>
  <c r="AD31" i="51"/>
  <c r="W40" i="50"/>
  <c r="W41" i="50" s="1"/>
  <c r="W42" i="50" s="1"/>
  <c r="AA35" i="2"/>
  <c r="AA32" i="2"/>
  <c r="Z19" i="48" l="1"/>
  <c r="Z8" i="52"/>
  <c r="Z9" i="52" s="1"/>
  <c r="Z18" i="52" s="1"/>
  <c r="Z19" i="52"/>
  <c r="AA39" i="2"/>
  <c r="AA15" i="48"/>
  <c r="AB15" i="48" s="1"/>
  <c r="D12" i="51"/>
  <c r="D11" i="51"/>
  <c r="AD32" i="51"/>
  <c r="Z34" i="51"/>
  <c r="AA33" i="51"/>
  <c r="Z35" i="50"/>
  <c r="Y32" i="50"/>
  <c r="Y33" i="50" s="1"/>
  <c r="Y39" i="50"/>
  <c r="AB32" i="2"/>
  <c r="K19" i="49" s="1"/>
  <c r="AA10" i="48"/>
  <c r="AB10" i="48" s="1"/>
  <c r="X40" i="50"/>
  <c r="X41" i="50" s="1"/>
  <c r="X42" i="50" s="1"/>
  <c r="AB35" i="2"/>
  <c r="K23" i="49" s="1"/>
  <c r="F40" i="2"/>
  <c r="E40" i="2"/>
  <c r="D40" i="2"/>
  <c r="AA19" i="48" l="1"/>
  <c r="AB19" i="48" s="1"/>
  <c r="AA8" i="52"/>
  <c r="AA9" i="52" s="1"/>
  <c r="AA18" i="52" s="1"/>
  <c r="AA19" i="52" s="1"/>
  <c r="Y40" i="50"/>
  <c r="Y41" i="50" s="1"/>
  <c r="Y42" i="50" s="1"/>
  <c r="AA34" i="51"/>
  <c r="AB33" i="51"/>
  <c r="AA35" i="50"/>
  <c r="Z32" i="50"/>
  <c r="Z33" i="50" s="1"/>
  <c r="Z39" i="50"/>
  <c r="C40" i="2"/>
  <c r="Z40" i="50" l="1"/>
  <c r="Z41" i="50" s="1"/>
  <c r="Z42" i="50" s="1"/>
  <c r="AA32" i="50"/>
  <c r="AA39" i="50"/>
  <c r="AB35" i="50"/>
  <c r="E22" i="49" s="1"/>
  <c r="AB34" i="51"/>
  <c r="AC33" i="51"/>
  <c r="AD33" i="51" s="1"/>
  <c r="C41" i="2"/>
  <c r="C22" i="48" s="1"/>
  <c r="AB36" i="2"/>
  <c r="K24" i="49" s="1"/>
  <c r="AC34" i="51" l="1"/>
  <c r="AD34" i="51" s="1"/>
  <c r="D14" i="51" s="1"/>
  <c r="AA33" i="50"/>
  <c r="AB33" i="50" s="1"/>
  <c r="E19" i="49" s="1"/>
  <c r="E30" i="49" s="1"/>
  <c r="AB32" i="50"/>
  <c r="AB39" i="50"/>
  <c r="E26" i="49" s="1"/>
  <c r="AA40" i="50"/>
  <c r="B21" i="50"/>
  <c r="E37" i="49" s="1"/>
  <c r="G40" i="2"/>
  <c r="H40" i="2"/>
  <c r="D41" i="2"/>
  <c r="D22" i="48" s="1"/>
  <c r="AB40" i="50" l="1"/>
  <c r="AA41" i="50"/>
  <c r="B19" i="50"/>
  <c r="E35" i="49" s="1"/>
  <c r="B20" i="50"/>
  <c r="E36" i="49" s="1"/>
  <c r="D42" i="2"/>
  <c r="D23" i="48" s="1"/>
  <c r="E41" i="2"/>
  <c r="E22" i="48" s="1"/>
  <c r="I40" i="2"/>
  <c r="AA42" i="50" l="1"/>
  <c r="AB42" i="50" s="1"/>
  <c r="B22" i="50" s="1"/>
  <c r="E38" i="49" s="1"/>
  <c r="AB41" i="50"/>
  <c r="E29" i="49" s="1"/>
  <c r="E42" i="2"/>
  <c r="E23" i="48" s="1"/>
  <c r="F41" i="2"/>
  <c r="F22" i="48" s="1"/>
  <c r="F42" i="2" l="1"/>
  <c r="F23" i="48" s="1"/>
  <c r="G41" i="2"/>
  <c r="G22" i="48" s="1"/>
  <c r="J40" i="2"/>
  <c r="K40" i="2"/>
  <c r="L40" i="2" l="1"/>
  <c r="G42" i="2"/>
  <c r="G23" i="48" s="1"/>
  <c r="H41" i="2"/>
  <c r="H22" i="48" s="1"/>
  <c r="H42" i="2" l="1"/>
  <c r="H23" i="48" s="1"/>
  <c r="I41" i="2"/>
  <c r="I22" i="48" s="1"/>
  <c r="M40" i="2"/>
  <c r="N40" i="2" l="1"/>
  <c r="I42" i="2"/>
  <c r="I23" i="48" s="1"/>
  <c r="J41" i="2"/>
  <c r="J22" i="48" s="1"/>
  <c r="J42" i="2" l="1"/>
  <c r="J23" i="48" s="1"/>
  <c r="K41" i="2"/>
  <c r="K22" i="48" s="1"/>
  <c r="O40" i="2"/>
  <c r="P40" i="2" l="1"/>
  <c r="K42" i="2"/>
  <c r="K23" i="48" s="1"/>
  <c r="L41" i="2"/>
  <c r="L22" i="48" s="1"/>
  <c r="L42" i="2" l="1"/>
  <c r="L23" i="48" s="1"/>
  <c r="M41" i="2"/>
  <c r="M22" i="48" s="1"/>
  <c r="Q40" i="2"/>
  <c r="R40" i="2" l="1"/>
  <c r="M42" i="2"/>
  <c r="M23" i="48" s="1"/>
  <c r="N41" i="2"/>
  <c r="N22" i="48" s="1"/>
  <c r="N42" i="2" l="1"/>
  <c r="N23" i="48" s="1"/>
  <c r="O41" i="2"/>
  <c r="O22" i="48" s="1"/>
  <c r="S40" i="2"/>
  <c r="T40" i="2" l="1"/>
  <c r="O42" i="2"/>
  <c r="O23" i="48" s="1"/>
  <c r="P41" i="2"/>
  <c r="P22" i="48" s="1"/>
  <c r="P42" i="2" l="1"/>
  <c r="P23" i="48" s="1"/>
  <c r="Q41" i="2"/>
  <c r="Q22" i="48" s="1"/>
  <c r="U40" i="2"/>
  <c r="V40" i="2" l="1"/>
  <c r="Q42" i="2"/>
  <c r="Q23" i="48" s="1"/>
  <c r="R41" i="2"/>
  <c r="R22" i="48" s="1"/>
  <c r="R42" i="2" l="1"/>
  <c r="R23" i="48" s="1"/>
  <c r="S41" i="2"/>
  <c r="S22" i="48" s="1"/>
  <c r="W40" i="2"/>
  <c r="X40" i="2" l="1"/>
  <c r="S42" i="2"/>
  <c r="S23" i="48" s="1"/>
  <c r="T41" i="2"/>
  <c r="T22" i="48" s="1"/>
  <c r="T42" i="2" l="1"/>
  <c r="T23" i="48" s="1"/>
  <c r="U41" i="2"/>
  <c r="U22" i="48" s="1"/>
  <c r="Y40" i="2"/>
  <c r="Z40" i="2" l="1"/>
  <c r="U42" i="2"/>
  <c r="U23" i="48" s="1"/>
  <c r="V41" i="2"/>
  <c r="V22" i="48" s="1"/>
  <c r="V42" i="2" l="1"/>
  <c r="V23" i="48" s="1"/>
  <c r="W41" i="2"/>
  <c r="W22" i="48" s="1"/>
  <c r="B21" i="2"/>
  <c r="K37" i="49" s="1"/>
  <c r="AB33" i="2"/>
  <c r="K21" i="49" s="1"/>
  <c r="AA40" i="2" l="1"/>
  <c r="B19" i="2" s="1"/>
  <c r="K35" i="49" s="1"/>
  <c r="L85" i="10"/>
  <c r="AB39" i="2"/>
  <c r="K27" i="49" s="1"/>
  <c r="K30" i="49" s="1"/>
  <c r="W42" i="2"/>
  <c r="W23" i="48" s="1"/>
  <c r="X41" i="2"/>
  <c r="X22" i="48" s="1"/>
  <c r="X42" i="2" l="1"/>
  <c r="X23" i="48" s="1"/>
  <c r="Y41" i="2"/>
  <c r="Y22" i="48" s="1"/>
  <c r="C85" i="10"/>
  <c r="AB40" i="2"/>
  <c r="B20" i="2"/>
  <c r="I85" i="10" l="1"/>
  <c r="K36" i="49"/>
  <c r="Y42" i="2"/>
  <c r="Y23" i="48" s="1"/>
  <c r="Z41" i="2"/>
  <c r="Z22" i="48" s="1"/>
  <c r="Z42" i="2" l="1"/>
  <c r="Z23" i="48" s="1"/>
  <c r="AA41" i="2"/>
  <c r="AA22" i="48" s="1"/>
  <c r="AB22" i="48" s="1"/>
  <c r="AA42" i="2" l="1"/>
  <c r="AB41" i="2"/>
  <c r="K29" i="49" s="1"/>
  <c r="AB42" i="2" l="1"/>
  <c r="B22" i="2" s="1"/>
  <c r="AA23" i="48"/>
  <c r="AB23" i="48" s="1"/>
  <c r="O85" i="10" l="1"/>
  <c r="K38" i="49"/>
</calcChain>
</file>

<file path=xl/sharedStrings.xml><?xml version="1.0" encoding="utf-8"?>
<sst xmlns="http://schemas.openxmlformats.org/spreadsheetml/2006/main" count="3977" uniqueCount="1581">
  <si>
    <t>PROYECTO</t>
  </si>
  <si>
    <t>Año inicial</t>
  </si>
  <si>
    <t>Tasa Evaluación</t>
  </si>
  <si>
    <t>% de AOM</t>
  </si>
  <si>
    <t>AOM Gastado</t>
  </si>
  <si>
    <t>RECUPERACION DE INVERSION</t>
  </si>
  <si>
    <t>AOM Remunerado</t>
  </si>
  <si>
    <t>Ingresos debido a Peajes</t>
  </si>
  <si>
    <t>TOTAL</t>
  </si>
  <si>
    <t>VPN</t>
  </si>
  <si>
    <t>TIR</t>
  </si>
  <si>
    <t>ANALISIS ECONOMICO DEL PROYECTO</t>
  </si>
  <si>
    <t>DATOS DE AJUSTE PARA EVALUACION DEL PROYECTO</t>
  </si>
  <si>
    <t>Años de recuperacion</t>
  </si>
  <si>
    <t>FLUJO DE FONDOS</t>
  </si>
  <si>
    <t>DATOS PARA EVALUACION ECONOMICA DEL PROYECTO</t>
  </si>
  <si>
    <t>PARAMETROS</t>
  </si>
  <si>
    <t>TIEMPO</t>
  </si>
  <si>
    <t>INDICADORES ECONOMICOS DEL PROYECTO</t>
  </si>
  <si>
    <t>AOM Reconocido</t>
  </si>
  <si>
    <t>[$/kWh]</t>
  </si>
  <si>
    <t xml:space="preserve">PARAMETROS PARA EVALUACION </t>
  </si>
  <si>
    <t>[Año]</t>
  </si>
  <si>
    <t>BENEFICIOS</t>
  </si>
  <si>
    <t>COSTOS</t>
  </si>
  <si>
    <t>TOTAL COSTOS</t>
  </si>
  <si>
    <t>TOTAL BENEFICIOS</t>
  </si>
  <si>
    <t>Descripción del proyecto:</t>
  </si>
  <si>
    <t>Antecedentes:</t>
  </si>
  <si>
    <t>Objetivo:</t>
  </si>
  <si>
    <t>DATOS GENERALES</t>
  </si>
  <si>
    <t>Ubicación:</t>
  </si>
  <si>
    <t>Beneficios obtenidos de la ejecución del proyecto:</t>
  </si>
  <si>
    <t>Riesgos al no realizar el proyecto:</t>
  </si>
  <si>
    <t>BENEFICIOS Y RIESGOS</t>
  </si>
  <si>
    <t>CRONOGRAMA</t>
  </si>
  <si>
    <t>INVERSIÓN E INDICADORES FINANCIEROS</t>
  </si>
  <si>
    <t>Valor presente neto (VPN)</t>
  </si>
  <si>
    <t>Indicadores financieros</t>
  </si>
  <si>
    <t>Tasa interna de retorno (TIR)</t>
  </si>
  <si>
    <t>Relación Beneficio/Costo</t>
  </si>
  <si>
    <t>Año 1</t>
  </si>
  <si>
    <t>Año 2</t>
  </si>
  <si>
    <t>Año 3</t>
  </si>
  <si>
    <t>Año 4</t>
  </si>
  <si>
    <t>Total Inversión</t>
  </si>
  <si>
    <t>Flujo Acumulado</t>
  </si>
  <si>
    <t>TIEMPO TRANSCURRIDO DEL PROYECTO [AÑOS]</t>
  </si>
  <si>
    <t>Tiempo de recuperación (Años)</t>
  </si>
  <si>
    <t>PR (Años)</t>
  </si>
  <si>
    <t>UC 097</t>
  </si>
  <si>
    <t>DESCRIPCIÓN UNIDAD CONSTRUCTIVA</t>
  </si>
  <si>
    <t xml:space="preserve">VALOR INSTALADO
[$Dic 2007] </t>
  </si>
  <si>
    <t>VIDA ÚTIL</t>
  </si>
  <si>
    <t>N2L1</t>
  </si>
  <si>
    <t>km LÍNEA URBANA - POSTE CONCRETO - VANO TIPO 1 - 3 HILOS (3 FASES, SIN NEUTRO) - CONDUCTOR D-N2-1</t>
  </si>
  <si>
    <t>N2L2</t>
  </si>
  <si>
    <t>km LÍNEA URBANA - POSTE CONCRETO - VANO TIPO 1 - 3 HILOS (3 FASES, SIN NEUTRO) - CONDUCTOR D-N2-2</t>
  </si>
  <si>
    <t>N2L3</t>
  </si>
  <si>
    <t>km LÍNEA URBANA - POSTE CONCRETO - VANO TIPO 1 - 3 HILOS (3 FASES, SIN NEUTRO) - CONDUCTOR D-N2-3</t>
  </si>
  <si>
    <t>N2L4</t>
  </si>
  <si>
    <t>km LÍNEA URBANA - POSTE CONCRETO - VANO TIPO 1 - 3 HILOS (3 FASES, SIN NEUTRO) - CONDUCTOR D-N2-4</t>
  </si>
  <si>
    <t>N2L5</t>
  </si>
  <si>
    <t>km LÍNEA URBANA - POSTE CONCRETO - VANO TIPO 1 - 3 HILOS (3 FASES, SIN NEUTRO) - CONDUCTOR D-N2-5</t>
  </si>
  <si>
    <t>N2L6</t>
  </si>
  <si>
    <t>km LÍNEA URBANA - POSTE CONCRETO - VANO TIPO 2 - 3 HILOS (3 FASES, SIN NEUTRO) - CONDUCTOR D-N2-1</t>
  </si>
  <si>
    <t>N2L7</t>
  </si>
  <si>
    <t>km LÍNEA URBANA - POSTE CONCRETO - VANO TIPO 2 - 3 HILOS (3 FASES, SIN NEUTRO) - CONDUCTOR D-N2-2</t>
  </si>
  <si>
    <t>N2L8</t>
  </si>
  <si>
    <t>km LÍNEA URBANA - POSTE CONCRETO - VANO TIPO 2 - 3 HILOS (3 FASES, SIN NEUTRO) - CONDUCTOR D-N2-3</t>
  </si>
  <si>
    <t>N2L9</t>
  </si>
  <si>
    <t>km LÍNEA URBANA - POSTE CONCRETO - VANO TIPO 2 - 3 HILOS (3 FASES, SIN NEUTRO) - CONDUCTOR D-N2-4</t>
  </si>
  <si>
    <t>N2L10</t>
  </si>
  <si>
    <t>km LÍNEA URBANA - POSTE CONCRETO - VANO TIPO 2 - 3 HILOS (3 FASES, SIN NEUTRO) - CONDUCTOR D-N2-5</t>
  </si>
  <si>
    <t>N2L11</t>
  </si>
  <si>
    <t>km LÍNEA URBANA - POSTE CONCRETO - VANO TIPO 1 - 4 HILOS (3 FASES, CON NEUTRO) - CONDUCTOR D-N2-1</t>
  </si>
  <si>
    <t>N2L12</t>
  </si>
  <si>
    <t>km LÍNEA URBANA - POSTE CONCRETO - VANO TIPO 1 - 4 HILOS (3 FASES, CON NEUTRO) - CONDUCTOR D-N2-2</t>
  </si>
  <si>
    <t>N2L13</t>
  </si>
  <si>
    <t>km LÍNEA URBANA - POSTE CONCRETO - VANO TIPO 1 - 4 HILOS (3 FASES, CON NEUTRO) - CONDUCTOR D-N2-3</t>
  </si>
  <si>
    <t>N2L14</t>
  </si>
  <si>
    <t>km LÍNEA URBANA - POSTE CONCRETO - VANO TIPO 1 - 4 HILOS (3 FASES, CON NEUTRO) - CONDUCTOR D-N2-4</t>
  </si>
  <si>
    <t>N2L15</t>
  </si>
  <si>
    <t>km LÍNEA URBANA - POSTE CONCRETO - VANO TIPO 1 - 4 HILOS (3 FASES, CON NEUTRO) - CONDUCTOR D-N2-5</t>
  </si>
  <si>
    <t>N2L16</t>
  </si>
  <si>
    <t>km LÍNEA URBANA - POSTE CONCRETO - VANO TIPO 2 - 4 HILOS (3 FASES, CON NEUTRO) - CONDUCTOR D-N2-1</t>
  </si>
  <si>
    <t>N2L17</t>
  </si>
  <si>
    <t>km LÍNEA URBANA - POSTE CONCRETO - VANO TIPO 2 - 4 HILOS (3 FASES, CON NEUTRO) - CONDUCTOR D-N2-2</t>
  </si>
  <si>
    <t>N2L18</t>
  </si>
  <si>
    <t>km LÍNEA URBANA - POSTE CONCRETO - VANO TIPO 2 - 4 HILOS (3 FASES, CON NEUTRO) - CONDUCTOR D-N2-3</t>
  </si>
  <si>
    <t>N2L19</t>
  </si>
  <si>
    <t>km LÍNEA URBANA - POSTE CONCRETO - VANO TIPO 2 - 4 HILOS (3 FASES, CON NEUTRO) - CONDUCTOR D-N2-4</t>
  </si>
  <si>
    <t>N2L20</t>
  </si>
  <si>
    <t>km LÍNEA URBANA - POSTE CONCRETO - VANO TIPO 2 - 4 HILOS (3 FASES, CON NEUTRO) - CONDUCTOR D-N2-5</t>
  </si>
  <si>
    <t>N2L21</t>
  </si>
  <si>
    <t>km LÍNEA URBANA - POSTE CONCRETO - VANO TIPO 1 - 2 HILOS (2 FASES, SIN NEUTRO) - CONDUCTOR D-N2-1</t>
  </si>
  <si>
    <t>N2L22</t>
  </si>
  <si>
    <t>km LÍNEA URBANA - POSTE CONCRETO - VANO TIPO 1 - 2 HILOS (2 FASES, SIN NEUTRO) - CONDUCTOR D-N2-2</t>
  </si>
  <si>
    <t>N2L23</t>
  </si>
  <si>
    <t>km LÍNEA URBANA - POSTE CONCRETO - VANO TIPO 1 - 2 HILOS (2 FASES, SIN NEUTRO) - CONDUCTOR D-N2-4</t>
  </si>
  <si>
    <t>N2L24</t>
  </si>
  <si>
    <t>km LÍNEA URBANA - POSTE CONCRETO - VANO TIPO 2 - 2 HILOS (2 FASES, SIN NEUTRO) - CONDUCTOR D-N2-1</t>
  </si>
  <si>
    <t>N2L25</t>
  </si>
  <si>
    <t>km LÍNEA URBANA - POSTE CONCRETO - VANO TIPO 2 - 2 HILOS (2 FASES, SIN NEUTRO) - CONDUCTOR D-N2-2</t>
  </si>
  <si>
    <t>N2L26</t>
  </si>
  <si>
    <t>km LÍNEA URBANA - POSTE CONCRETO - VANO TIPO 2 - 2 HILOS (2 FASES, SIN NEUTRO) - CONDUCTOR D-N2-4</t>
  </si>
  <si>
    <t>N2L27</t>
  </si>
  <si>
    <t>km LÍNEA RURAL - POSTE CONCRETO - VANO TIPO 1 - 3 HILOS (3 FASES, SIN NEUTRO) - CONDUCTOR D-N2-1</t>
  </si>
  <si>
    <t>N2L28</t>
  </si>
  <si>
    <t>km LÍNEA RURAL - POSTE CONCRETO - VANO TIPO 1 - 3 HILOS (3 FASES, SIN NEUTRO) - CONDUCTOR D-N2-2</t>
  </si>
  <si>
    <t>N2L29</t>
  </si>
  <si>
    <t>km LÍNEA RURAL - POSTE CONCRETO - VANO TIPO 1 - 3 HILOS (3 FASES, SIN NEUTRO) - CONDUCTOR D-N2-3</t>
  </si>
  <si>
    <t>N2L30</t>
  </si>
  <si>
    <t>km LÍNEA RURAL - POSTE CONCRETO - VANO TIPO 1 - 3 HILOS (3 FASES, SIN NEUTRO) - CONDUCTOR D-N2-4</t>
  </si>
  <si>
    <t>N2L31</t>
  </si>
  <si>
    <t>km LÍNEA RURAL - POSTE CONCRETO - VANO TIPO 1 - 3 HILOS (3 FASES, SIN NEUTRO) - CONDUCTOR D-N2-5</t>
  </si>
  <si>
    <t>N2L32</t>
  </si>
  <si>
    <t>km LÍNEA RURAL - POSTE CONCRETO - VANO TIPO 2 - 3 HILOS (3 FASES, SIN NEUTRO) - CONDUCTOR D-N2-1</t>
  </si>
  <si>
    <t>N2L33</t>
  </si>
  <si>
    <t>km LÍNEA RURAL - POSTE CONCRETO - VANO TIPO 2 - 3 HILOS (3 FASES, SIN NEUTRO) - CONDUCTOR D-N2-2</t>
  </si>
  <si>
    <t>N2L34</t>
  </si>
  <si>
    <t>km LÍNEA RURAL - POSTE CONCRETO - VANO TIPO 2 - 3 HILOS (3 FASES, SIN NEUTRO) - CONDUCTOR D-N2-3</t>
  </si>
  <si>
    <t>N2L35</t>
  </si>
  <si>
    <t>km LÍNEA RURAL - POSTE CONCRETO - VANO TIPO 2 - 3 HILOS (3 FASES, SIN NEUTRO) - CONDUCTOR D-N2-4</t>
  </si>
  <si>
    <t>N2L36</t>
  </si>
  <si>
    <t>km LÍNEA RURAL - POSTE CONCRETO - VANO TIPO 2 - 3 HILOS (3 FASES, SIN NEUTRO) - CONDUCTOR D-N2-5</t>
  </si>
  <si>
    <t>N2L37</t>
  </si>
  <si>
    <t>km LÍNEA RURAL - POSTE CONCRETO - VANO TIPO 1 - 4 HILOS (3 FASES, CON NEUTRO) - CONDUCTOR D-N2-1</t>
  </si>
  <si>
    <t>N2L38</t>
  </si>
  <si>
    <t>km LÍNEA RURAL - POSTE CONCRETO - VANO TIPO 1 - 4 HILOS (3 FASES, CON NEUTRO) - CONDUCTOR D-N2-2</t>
  </si>
  <si>
    <t>N2L39</t>
  </si>
  <si>
    <t>km LÍNEA RURAL - POSTE CONCRETO - VANO TIPO 1 - 4 HILOS (3 FASES, CON NEUTRO) - CONDUCTOR D-N2-3</t>
  </si>
  <si>
    <t>N2L40</t>
  </si>
  <si>
    <t>km LÍNEA RURAL - POSTE CONCRETO - VANO TIPO 1 - 4 HILOS (3 FASES, CON NEUTRO) - CONDUCTOR D-N2-4</t>
  </si>
  <si>
    <t>N2L41</t>
  </si>
  <si>
    <t>km LÍNEA RURAL - POSTE CONCRETO - VANO TIPO 1 - 4 HILOS (3 FASES, CON NEUTRO) - CONDUCTOR D-N2-5</t>
  </si>
  <si>
    <t>N2L42</t>
  </si>
  <si>
    <t>km LÍNEA RURAL - POSTE CONCRETO - VANO TIPO 2 - 4 HILOS (3 FASES, CON NEUTRO) - CONDUCTOR D-N2-1</t>
  </si>
  <si>
    <t>N2L43</t>
  </si>
  <si>
    <t>km LÍNEA RURAL - POSTE CONCRETO - VANO TIPO 2 - 4 HILOS (3 FASES, CON NEUTRO) - CONDUCTOR D-N2-2</t>
  </si>
  <si>
    <t>N2L44</t>
  </si>
  <si>
    <t>km LÍNEA RURAL - POSTE CONCRETO - VANO TIPO 2 - 4 HILOS (3 FASES, CON NEUTRO) - CONDUCTOR D-N2-3</t>
  </si>
  <si>
    <t>N2L45</t>
  </si>
  <si>
    <t>km LÍNEA RURAL - POSTE CONCRETO - VANO TIPO 2 - 4 HILOS (3 FASES, CON NEUTRO) - CONDUCTOR D-N2-4</t>
  </si>
  <si>
    <t>N2L46</t>
  </si>
  <si>
    <t>km LÍNEA RURAL - POSTE CONCRETO - VANO TIPO 2 - 4 HILOS (3 FASES, CON NEUTRO) - CONDUCTOR D-N2-5</t>
  </si>
  <si>
    <t>N2L47</t>
  </si>
  <si>
    <t>km LÍNEA RURAL - POSTE CONCRETO - VANO TIPO 2 - 2 HILOS (2 FASES, SIN NEUTRO) - CONDUCTOR D-N2-1</t>
  </si>
  <si>
    <t>N2L48</t>
  </si>
  <si>
    <t>km LÍNEA RURAL - POSTE CONCRETO - VANO TIPO 2 - 2 HILOS (2 FASES, SIN NEUTRO) - CONDUCTOR D-N2-2</t>
  </si>
  <si>
    <t>N2L49</t>
  </si>
  <si>
    <t>km LÍNEA RURAL - POSTE CONCRETO - VANO TIPO 2 - 2 HILOS (2 FASES, SIN NEUTRO) - CONDUCTOR D-N2-4</t>
  </si>
  <si>
    <t>N2L50</t>
  </si>
  <si>
    <t>km LÍNEA URBANA - POSTE CONCRETO - VANO TIPO 1 - 4 HILOS (3 FASES, CON NEUTRO) - CONDUCTOR SA-N2-1</t>
  </si>
  <si>
    <t>N2L51</t>
  </si>
  <si>
    <t>km LÍNEA URBANA - POSTE CONCRETO - VANO TIPO 1 - 4 HILOS (3 FASES, CON NEUTRO) - CONDUCTOR SA-N2-2</t>
  </si>
  <si>
    <t>N2L52</t>
  </si>
  <si>
    <t>km LÍNEA URBANA - POSTE CONCRETO - VANO TIPO 1 - 4 HILOS (3 FASES, CON NEUTRO) - CONDUCTOR SA-N2-3</t>
  </si>
  <si>
    <t>N2L53</t>
  </si>
  <si>
    <t>km LÍNEA URBANA - POSTE CONCRETO - VANO TIPO 1 - 2 HILOS (1 FASE, CON NEUTRO) - CONDUCTOR SA-N2-1</t>
  </si>
  <si>
    <t>N2L54</t>
  </si>
  <si>
    <t>km CONDUCTOR SUBTERRANEO URBANO - 3 CABLES MONOPOLARES - CU AISLADO XLP O  EPR, 15 kV - 4 AWG</t>
  </si>
  <si>
    <t>N2L55</t>
  </si>
  <si>
    <t>km CONDUCTOR SUBTERRANEO URBANO - 3 CABLES MONOPOLARES - CU AISLADO XLP O  EPR, 15 kV - 2 AWG</t>
  </si>
  <si>
    <t>N2L56</t>
  </si>
  <si>
    <t>km CONDUCTOR SUBTERRANEO URBANO - 3 CABLES MONOPOLARES - CU AISLADO XLP O  EPR, 15 kV - 1/0 AWG</t>
  </si>
  <si>
    <t>N2L57</t>
  </si>
  <si>
    <t>km CONDUCTOR SUBTERRANEO URBANO - 3 CABLES MONOPOLARES - CU AISLADO XLP O  EPR, 15 kV - 2/0 AWG</t>
  </si>
  <si>
    <t>N2L58</t>
  </si>
  <si>
    <t>km CONDUCTOR SUBTERRANEO URBANO - 3 CABLES MONOPOLARES - CU AISLADO XLP O  EPR, 15 kV - 3/0 AWG</t>
  </si>
  <si>
    <t>N2L59</t>
  </si>
  <si>
    <t>km CONDUCTOR SUBTERRANEO URBANO - 3 CABLES MONOPOLARES - CU AISLADO XLP O  EPR, 15 kV - 4/0 AWG</t>
  </si>
  <si>
    <t>N2L60</t>
  </si>
  <si>
    <t>km CONDUCTOR SUBTERRANEO URBANO - 3 CABLES MONOPOLARES - CU AISLADO XLP O  EPR, 15 kV - 300 kcmil</t>
  </si>
  <si>
    <t>N2L61</t>
  </si>
  <si>
    <t>km CONDUCTOR SUBTERRANEO URBANO - 3 CABLES MONOPOLARES - CU AISLADO XLP O  EPR, 15 kV - 350 kcmil</t>
  </si>
  <si>
    <t>N2L62</t>
  </si>
  <si>
    <t>km CONDUCTOR SUBTERRANEO URBANO - 3 CABLES MONOPOLARES - CU AISLADO XLP O  EPR, 15 kV - 500 kcmil</t>
  </si>
  <si>
    <t>N2L63</t>
  </si>
  <si>
    <t>km CONDUCTOR SUBTERRANEO URBANO - 3 CABLES MONOPOLARES - AAAC AISLADO XLP O  EPR, 15 kV - 500 kcmil</t>
  </si>
  <si>
    <t>N2L64</t>
  </si>
  <si>
    <t>km CONDUCTOR SUBTERRANEO URBANO - 3 CABLES MONOPOLARES - AAAC AISLADO XLP O  EPR, 15 kV - 750 kcmil</t>
  </si>
  <si>
    <t>N2L65</t>
  </si>
  <si>
    <t>km CONDUCTOR SUBTERRANEO URBANO - 1 CABLE MONOPOLAR - CU AISLADO XLP O  EPR, 15 KV- 1/0 AWG</t>
  </si>
  <si>
    <t>N2L66</t>
  </si>
  <si>
    <t>km CANALIZACIÓN URBANA 2X4"</t>
  </si>
  <si>
    <t>N2L67</t>
  </si>
  <si>
    <t>km CANALIZACIÓN URBANA 4X4"</t>
  </si>
  <si>
    <t>N2L68</t>
  </si>
  <si>
    <t>km CANALIZACIÓN URBANA 6X4"</t>
  </si>
  <si>
    <t>N2L69</t>
  </si>
  <si>
    <t>km CANALIZACIÓN URBANA 6X4" Y 3X6"</t>
  </si>
  <si>
    <t>N3L1</t>
  </si>
  <si>
    <t>km LÍNEA URBANA - CIRCUITO SENCILLO - POSTE CONCRETO - CONDUCTOR D-N3-1</t>
  </si>
  <si>
    <t>N3L2</t>
  </si>
  <si>
    <t>km LÍNEA URBANA - CIRCUITO SENCILLO - POSTE CONCRETO - CONDUCTOR D-N3-2</t>
  </si>
  <si>
    <t>N3L3</t>
  </si>
  <si>
    <t>km LÍNEA URBANA - CIRCUITO SENCILLO - POSTE CONCRETO - CONDUCTOR D-N3-3</t>
  </si>
  <si>
    <t>N3L4</t>
  </si>
  <si>
    <t>km LÍNEA RURAL - CIRCUITO SENCILLO - POSTE CONCRETO - CONDUCTOR D-N3-1</t>
  </si>
  <si>
    <t>N3L5</t>
  </si>
  <si>
    <t>km LÍNEA RURAL - CIRCUITO SENCILLO - POSTE CONCRETO - CONDUCTOR D-N3-2</t>
  </si>
  <si>
    <t>N3L6</t>
  </si>
  <si>
    <t>km LÍNEA RURAL - CIRCUITO SENCILLO - POSTE CONCRETO - CONDUCTOR D-N3-3</t>
  </si>
  <si>
    <t>N3L7</t>
  </si>
  <si>
    <t>km LÍNEA URBANA - CIRCUITO DOBLE - POSTE CONCRETO - CONDUCTOR D-N3-1</t>
  </si>
  <si>
    <t>N3L8</t>
  </si>
  <si>
    <t>km LÍNEA URBANA - CIRCUITO DOBLE - POSTE CONCRETO - CONDUCTOR D-N3-2</t>
  </si>
  <si>
    <t>N3L9</t>
  </si>
  <si>
    <t>km LÍNEA URBANA - CIRCUITO DOBLE - POSTE CONCRETO - CONDUCTOR D-N3-3</t>
  </si>
  <si>
    <t>N3L10</t>
  </si>
  <si>
    <t>km LÍNEA RURAL - CIRCUITO DOBLE - POSTE CONCRETO - CONDUCTOR D-N3-1</t>
  </si>
  <si>
    <t>N3L11</t>
  </si>
  <si>
    <t>km LÍNEA RURAL - CIRCUITO DOBLE - POSTE CONCRETO - CONDUCTOR D-N3-2</t>
  </si>
  <si>
    <t>N3L12</t>
  </si>
  <si>
    <t>km LÍNEA RURAL - CIRCUITO DOBLE - POSTE CONCRETO - CONDUCTOR D-N3-3</t>
  </si>
  <si>
    <t>N3L13</t>
  </si>
  <si>
    <t>km LÍNEA RURAL - CIRCUITO SENCILLO - TORRE METÁLICA - CONDUCTOR D-N3-1</t>
  </si>
  <si>
    <t>N3L14</t>
  </si>
  <si>
    <t>km LÍNEA RURAL - CIRCUITO SENCILLO - TORRE METÁLICA - CONDUCTOR D-N3-2</t>
  </si>
  <si>
    <t>N3L15</t>
  </si>
  <si>
    <t>km LÍNEA RURAL - CIRCUITO SENCILLO - TORRE METÁLICA - CONDUCTOR D-N3-3</t>
  </si>
  <si>
    <t>N3L16</t>
  </si>
  <si>
    <t>km LÍNEA RURAL - CIRCUITO DOBLE - TORRE METÁLICA - CONDUCTOR D-N3-1</t>
  </si>
  <si>
    <t>N3L17</t>
  </si>
  <si>
    <t>km LÍNEA RURAL - CIRCUITO DOBLE - TORRE METÁLICA - CONDUCTOR D-N3-2</t>
  </si>
  <si>
    <t>N3L18</t>
  </si>
  <si>
    <t>km LÍNEA RURAL - CIRCUITO DOBLE - TORRE METÁLICA - CONDUCTOR D-N3-3</t>
  </si>
  <si>
    <t>N3L19</t>
  </si>
  <si>
    <t>km LÍNEA URBANA - CIRCUITO SENCILLO - POSTE &gt; 20 m - CONDUCTOR D-N3-1</t>
  </si>
  <si>
    <t>N3L20</t>
  </si>
  <si>
    <t>km LÍNEA URBANA - CIRCUITO SENCILLO - POSTE &gt; 20 m - CONDUCTOR D-N3-2</t>
  </si>
  <si>
    <t>N3L21</t>
  </si>
  <si>
    <t>km LÍNEA URBANA - CIRCUITO SENCILLO - POSTE &gt; 20 m - CONDUCTOR D-N3-3</t>
  </si>
  <si>
    <t>N3L22</t>
  </si>
  <si>
    <t>km LÍNEA URBANA - CIRCUITO DOBLE - POSTE &gt; 20 m - CONDUCTOR D-N3-1</t>
  </si>
  <si>
    <t>N3L23</t>
  </si>
  <si>
    <t>km LÍNEA URBANA - CIRCUITO DOBLE - POSTE &gt; 20 m - CONDUCTOR D-N3-2</t>
  </si>
  <si>
    <t>N3L24</t>
  </si>
  <si>
    <t>km LÍNEA URBANA - CIRCUITO DOBLE - POSTE &gt; 20 m - CONDUCTOR D-N3-3</t>
  </si>
  <si>
    <t>N3L25</t>
  </si>
  <si>
    <t>km LÍNEA URBANA - 3 FASES - SEMIAISLADA - CONDUCTOR SA-N3-1</t>
  </si>
  <si>
    <t>N3L26</t>
  </si>
  <si>
    <t>km LÍNEA URBANA - 3 FASES - SEMIAISLADA - CONDUCTOR SA-N3-2</t>
  </si>
  <si>
    <t>N3L27</t>
  </si>
  <si>
    <t>km CONDUCTOR SUBTERRANEO URBANO - 3 CABLES MONOPOLARES - CU AISLADO XLPE, 35 KV - 750 kcmil</t>
  </si>
  <si>
    <t>N3L28</t>
  </si>
  <si>
    <t>km CONDUCTOR SUBTERRANEO URBANO - 3 CABLES MONOPOLARES - CU AISLADO XLPE, 35 KV - 500 kcmil</t>
  </si>
  <si>
    <t>N3L29</t>
  </si>
  <si>
    <t>km CONDUCTOR SUBTERRANEO URBANO - 3 CABLES MONOPOLARES - CU AISLADO XLPE, 35 KV - 350 kcmil</t>
  </si>
  <si>
    <t>N3L30</t>
  </si>
  <si>
    <t>km CONDUCTOR SUBTERRANEO URBANO - 3 CABLES MONOPOLARES - CU AISLADO XLPE, 35 KV - 4/0 AWG</t>
  </si>
  <si>
    <t>N3L31</t>
  </si>
  <si>
    <t>km CONDUCTOR SUBTERRANEO URBANO - 3 CABLES MONOPOLARES - CU AISLADO XLPE, 35 KV - 1/0 AWG</t>
  </si>
  <si>
    <t>N3L32</t>
  </si>
  <si>
    <t>km CANALIZACIÓN URBANA 4X6"</t>
  </si>
  <si>
    <t>N3L33</t>
  </si>
  <si>
    <t>km CANALIZACIÓN URBANA 6X6"</t>
  </si>
  <si>
    <t>N4L1</t>
  </si>
  <si>
    <t>km LÍNEA URBANA - CIRCUITO SENCILLO  - ESTRUCTURA CONCRETO - CONDUCTOR D-N4-1</t>
  </si>
  <si>
    <t>N4L2</t>
  </si>
  <si>
    <t>km LÍNEA URBANA - CIRCUITO SENCILLO  - ESTRUCTURA CONCRETO - CONDUCTOR D-N4-2</t>
  </si>
  <si>
    <t>N4L3</t>
  </si>
  <si>
    <t>km LÍNEA URBANA - CIRCUITO SENCILLO  - ESTRUCTURA CONCRETO - CONDUCTOR D-N4-3</t>
  </si>
  <si>
    <t>N4L4</t>
  </si>
  <si>
    <t>km LÍNEA URBANA - CIRCUITO SENCILLO  - ESTRUCTURA CONCRETO - CONDUCTOR D-N4-4</t>
  </si>
  <si>
    <t>N4L5</t>
  </si>
  <si>
    <t>km LÍNEA RURAL - CIRCUITO SENCILLO  - ESTRUCTURA CONCRETO - CONDUCTOR D-N4-1</t>
  </si>
  <si>
    <t>N4L6</t>
  </si>
  <si>
    <t>km LÍNEA RURAL - CIRCUITO SENCILLO  - ESTRUCTURA CONCRETO - CONDUCTOR D-N4-2</t>
  </si>
  <si>
    <t>N4L7</t>
  </si>
  <si>
    <t>km LÍNEA RURAL - CIRCUITO SENCILLO  - ESTRUCTURA CONCRETO - CONDUCTOR D-N4-3</t>
  </si>
  <si>
    <t>N4L8</t>
  </si>
  <si>
    <t>km LÍNEA RURAL - CIRCUITO SENCILLO  - ESTRUCTURA CONCRETO - CONDUCTOR D-N4-4</t>
  </si>
  <si>
    <t>N4L9</t>
  </si>
  <si>
    <t>km LÍNEA URBANA - CIRCUITO DOBLE  - ESTRUCTURA CONCRETO - CONDUCTOR D-N4-1</t>
  </si>
  <si>
    <t>N4L10</t>
  </si>
  <si>
    <t>km LÍNEA URBANA - CIRCUITO DOBLE  - ESTRUCTURA CONCRETO - CONDUCTOR D-N4-2</t>
  </si>
  <si>
    <t>N4L11</t>
  </si>
  <si>
    <t>km LÍNEA URBANA - CIRCUITO DOBLE  - ESTRUCTURA CONCRETO - CONDUCTOR D-N4-3</t>
  </si>
  <si>
    <t>N4L12</t>
  </si>
  <si>
    <t>km LÍNEA URBANA - CIRCUITO DOBLE  - ESTRUCTURA CONCRETO - CONDUCTOR D-N4-4</t>
  </si>
  <si>
    <t>N4L13</t>
  </si>
  <si>
    <t>km LÍNEA RURAL - CIRCUITO DOBLE  - ESTRUCTURA CONCRETO - CONDUCTOR D-N4-1</t>
  </si>
  <si>
    <t>N4L14</t>
  </si>
  <si>
    <t>km LÍNEA RURAL - CIRCUITO DOBLE  - ESTRUCTURA CONCRETO - CONDUCTOR D-N4-2</t>
  </si>
  <si>
    <t>N4L15</t>
  </si>
  <si>
    <t>km LÍNEA RURAL - CIRCUITO DOBLE  - ESTRUCTURA CONCRETO - CONDUCTOR D-N4-3</t>
  </si>
  <si>
    <t>N4L16</t>
  </si>
  <si>
    <t>km LÍNEA RURAL - CIRCUITO DOBLE  - ESTRUCTURA CONCRETO - CONDUCTOR D-N4-4</t>
  </si>
  <si>
    <t>N4L17</t>
  </si>
  <si>
    <t>km LÍNEA URBANA - CIRCUITO SENCILLO  - POSTE METÁLICO - CONDUCTOR D-N4-1</t>
  </si>
  <si>
    <t>N4L18</t>
  </si>
  <si>
    <t>km LÍNEA URBANA - CIRCUITO SENCILLO  - POSTE METÁLICO - CONDUCTOR D-N4-2</t>
  </si>
  <si>
    <t>N4L19</t>
  </si>
  <si>
    <t>km LÍNEA URBANA - CIRCUITO SENCILLO  - POSTE METÁLICO - CONDUCTOR D-N4-3</t>
  </si>
  <si>
    <t>N4L20</t>
  </si>
  <si>
    <t>km LÍNEA URBANA - CIRCUITO SENCILLO  - POSTE METÁLICO - CONDUCTOR D-N4-4</t>
  </si>
  <si>
    <t>N4L21</t>
  </si>
  <si>
    <t>km LÍNEA RURAL - CIRCUITO SENCILLO  - POSTE METÁLICO - CONDUCTOR D-N4-1</t>
  </si>
  <si>
    <t>N4L22</t>
  </si>
  <si>
    <t>km LÍNEA RURAL - CIRCUITO SENCILLO  - POSTE METÁLICO - CONDUCTOR D-N4-2</t>
  </si>
  <si>
    <t>N4L23</t>
  </si>
  <si>
    <t>km LÍNEA RURAL - CIRCUITO SENCILLO  - POSTE METÁLICO - CONDUCTOR D-N4-3</t>
  </si>
  <si>
    <t>N4L24</t>
  </si>
  <si>
    <t>km LÍNEA RURAL - CIRCUITO SENCILLO  - POSTE METÁLICO - CONDUCTOR D-N4-4</t>
  </si>
  <si>
    <t>N4L25</t>
  </si>
  <si>
    <t>km LÍNEA URBANA - CIRCUITO DOBLE  - POSTE METÁLICO - CONDUCTOR D-N4-1</t>
  </si>
  <si>
    <t>N4L26</t>
  </si>
  <si>
    <t>km LÍNEA URBANA - CIRCUITO DOBLE  - POSTE METÁLICO - CONDUCTOR D-N4-2</t>
  </si>
  <si>
    <t>N4L27</t>
  </si>
  <si>
    <t>km LÍNEA URBANA - CIRCUITO DOBLE  - POSTE METÁLICO - CONDUCTOR D-N4-3</t>
  </si>
  <si>
    <t>N4L28</t>
  </si>
  <si>
    <t>km LÍNEA URBANA - CIRCUITO DOBLE  - POSTE METÁLICO - CONDUCTOR D-N4-4</t>
  </si>
  <si>
    <t>N4L29</t>
  </si>
  <si>
    <t>km LÍNEA RURAL - CIRCUITO DOBLE  - POSTE METÁLICO - CONDUCTOR D-N4-1</t>
  </si>
  <si>
    <t>N4L30</t>
  </si>
  <si>
    <t>km LÍNEA RURAL - CIRCUITO DOBLE  - POSTE METÁLICO - CONDUCTOR D-N4-2</t>
  </si>
  <si>
    <t>N4L31</t>
  </si>
  <si>
    <t>km LÍNEA RURAL - CIRCUITO DOBLE  - POSTE METÁLICO - CONDUCTOR D-N4-3</t>
  </si>
  <si>
    <t>N4L32</t>
  </si>
  <si>
    <t>km LÍNEA RURAL - CIRCUITO DOBLE  - POSTE METÁLICO - CONDUCTOR D-N4-4</t>
  </si>
  <si>
    <t>N4L33</t>
  </si>
  <si>
    <t>km LÍNEA URBANA - CIRCUITO SENCILLO  - TORRE METÁLICA - CONDUCTOR D-N4-1</t>
  </si>
  <si>
    <t>N4L34</t>
  </si>
  <si>
    <t>km LÍNEA URBANA - CIRCUITO SENCILLO  - TORRE METÁLICA - CONDUCTOR D-N4-2</t>
  </si>
  <si>
    <t>N4L35</t>
  </si>
  <si>
    <t>km LÍNEA URBANA - CIRCUITO SENCILLO  - TORRE METÁLICA - CONDUCTOR D-N4-3</t>
  </si>
  <si>
    <t>N4L36</t>
  </si>
  <si>
    <t>km LÍNEA URBANA - CIRCUITO SENCILLO  - TORRE METÁLICA - CONDUCTOR D-N4-4</t>
  </si>
  <si>
    <t>N4L37</t>
  </si>
  <si>
    <t>km LÍNEA RURAL - CIRCUITO SENCILLO  - TORRE METÁLICA - CONDUCTOR D-N4-1</t>
  </si>
  <si>
    <t>N4L38</t>
  </si>
  <si>
    <t>km LÍNEA RURAL - CIRCUITO SENCILLO  - TORRE METÁLICA - CONDUCTOR D-N4-2</t>
  </si>
  <si>
    <t>N4L39</t>
  </si>
  <si>
    <t>km LÍNEA RURAL - CIRCUITO SENCILLO  - TORRE METÁLICA - CONDUCTOR D-N4-3</t>
  </si>
  <si>
    <t>N4L40</t>
  </si>
  <si>
    <t>km LÍNEA RURAL - CIRCUITO SENCILLO  - TORRE METÁLICA - CONDUCTOR D-N4-4</t>
  </si>
  <si>
    <t>N4L41</t>
  </si>
  <si>
    <t>km LÍNEA URBANA - CIRCUITO DOBLE  - TORRE METÁLICA - CONDUCTOR D-N4-1</t>
  </si>
  <si>
    <t>N4L42</t>
  </si>
  <si>
    <t>km LÍNEA URBANA - CIRCUITO DOBLE  - TORRE METÁLICA - CONDUCTOR D-N4-2</t>
  </si>
  <si>
    <t>N4L43</t>
  </si>
  <si>
    <t>km LÍNEA URBANA - CIRCUITO DOBLE  - TORRE METÁLICA - CONDUCTOR D-N4-3</t>
  </si>
  <si>
    <t>N4L44</t>
  </si>
  <si>
    <t>km LÍNEA URBANA - CIRCUITO DOBLE  - TORRE METÁLICA - CONDUCTOR D-N4-4</t>
  </si>
  <si>
    <t>N4L45</t>
  </si>
  <si>
    <t>km LÍNEA RURAL - CIRCUITO DOBLE  - TORRE METÁLICA - CONDUCTOR D-N4-1</t>
  </si>
  <si>
    <t>N4L46</t>
  </si>
  <si>
    <t>km LÍNEA RURAL - CIRCUITO DOBLE  - TORRE METÁLICA - CONDUCTOR D-N4-2</t>
  </si>
  <si>
    <t>N4L47</t>
  </si>
  <si>
    <t>km LÍNEA RURAL - CIRCUITO DOBLE  - TORRE METÁLICA - CONDUCTOR D-N4-3</t>
  </si>
  <si>
    <t>N4L48</t>
  </si>
  <si>
    <t>km LÍNEA RURAL - CIRCUITO DOBLE  - TORRE METÁLICA - CONDUCTOR D-N4-4</t>
  </si>
  <si>
    <t>N4L49</t>
  </si>
  <si>
    <t>km DE LÍNEA - SUBTERRANEA</t>
  </si>
  <si>
    <t>N4L50</t>
  </si>
  <si>
    <t>km DE LÍNEA - SUBMARINA</t>
  </si>
  <si>
    <t>N4L51</t>
  </si>
  <si>
    <t>km DE LÍNEA - CONEXIÓN INTERNACIONAL - 138 kV</t>
  </si>
  <si>
    <t>N4L52</t>
  </si>
  <si>
    <t>km DE FIBRA ÓPTICA ADSS/OPGW</t>
  </si>
  <si>
    <t>N2S1</t>
  </si>
  <si>
    <t>BAHÍA DE LÍNEA - CONFIGURACIÓN BARRA SENCILLA - TIPO CONVENCIONAL</t>
  </si>
  <si>
    <t>N2S2</t>
  </si>
  <si>
    <t>BAHÍA DE TRANSFORMADOR - CONFIGURACIÓN BARRA SENCILLA - TIPO CONVENCIONAL</t>
  </si>
  <si>
    <t>N2S3</t>
  </si>
  <si>
    <t>BAHÍA DE LÍNEA - CONFIGURACIÓN BARRA DOBLE - TIPO CONVENCIONAL</t>
  </si>
  <si>
    <t>N2S4</t>
  </si>
  <si>
    <t>BAHÍA DE TRANSFORMADOR - CONFIGURACIÓN BARRA DOBLE - TIPO CONVENCIONAL</t>
  </si>
  <si>
    <t>N2S5</t>
  </si>
  <si>
    <t>BAHÍA DE LÍNEA - CONFIGURACIÓN BARRA PRINCIPAL Y TRANSFERENCIA - TIPO CONVENCIONAL</t>
  </si>
  <si>
    <t>N2S6</t>
  </si>
  <si>
    <t>BAHÍA DE TRANSFORMADOR - CONFIGURACIÓN BARRA PRINCIPAL Y TRANSFERENCIA - TIPO CONVENCIONAL</t>
  </si>
  <si>
    <t>N2S7</t>
  </si>
  <si>
    <t>BAHÍA DE LÍNEA - SUBESTACIÓN REDUCIDA</t>
  </si>
  <si>
    <t>N2S8</t>
  </si>
  <si>
    <t>BAHÍA DE ACOPLE O SECCIONAMIENTO (CONFIGURACIONES  EN QUE APLICA) - TIPO CONVENCIONAL</t>
  </si>
  <si>
    <t>N2S9</t>
  </si>
  <si>
    <t>CELDA DE SALIDA DE CIRCUITO - BARRA SENCILLA - SUBESTACIÓN METALCLAD</t>
  </si>
  <si>
    <t>N2S10</t>
  </si>
  <si>
    <t>CELDA DE LLEGADA DETRANSFORMADOR - BARRA SENCILLA - SUBESTACIÓN METALCLAD</t>
  </si>
  <si>
    <t>N2S11</t>
  </si>
  <si>
    <t>CELDA DE INTERCONEXIÓN O DE ACOPLE - BARRA SENCILLA - SUBESTACIÓN METALCLAD</t>
  </si>
  <si>
    <t>N2S12</t>
  </si>
  <si>
    <t>CELDA DE MEDIDA O AUXILIARES - BARRA SENCILLA - SUBESTACIÓN METALCLAD</t>
  </si>
  <si>
    <t>N2S13</t>
  </si>
  <si>
    <t>GABINETE PROTECCIÓN DE BARRAS - SUBESTACIÓN METALCLAD</t>
  </si>
  <si>
    <t>N2S14</t>
  </si>
  <si>
    <t>DUCTO DE BARRAS O CABLES LLEGADA  TRANSFORMADOR - BARRA SENCILLA - SUBESTACIÓN METALCLAD</t>
  </si>
  <si>
    <t>N2S15</t>
  </si>
  <si>
    <t>CELDA DE SALIDA DE CIRCUITO - DOBLE BARRA - SUBESTACIÓN METALCLAD</t>
  </si>
  <si>
    <t>N2S16</t>
  </si>
  <si>
    <t>CELDA DE LLEGADA DETRANSFORMADOR - DOBLE BARRA - SUBESTACIÓN METALCLAD</t>
  </si>
  <si>
    <t>N2S17</t>
  </si>
  <si>
    <t>CELDA DE INTERCONEXIÓN O DE ACOPLE - DOBLE BARRA - SUBESTACIÓN METALCLAD</t>
  </si>
  <si>
    <t>N2S18</t>
  </si>
  <si>
    <t>CELDA DE MEDIDA O AUXILIARES - DOBLE BARRA - SUBESTACIÓN METALCLAD</t>
  </si>
  <si>
    <t>N2S19</t>
  </si>
  <si>
    <t>DUCTO DE BARRAS O CABLES LLEGADA  TRANSFORMADOR - DOBLE BARRA - SUBESTACIÓN METALCLAD</t>
  </si>
  <si>
    <t>N2S20</t>
  </si>
  <si>
    <t>MÓDULO DE BARRAJE - BARRA SENCILLA TIPO 1</t>
  </si>
  <si>
    <t>N2S21</t>
  </si>
  <si>
    <t>MÓDULO DE BARRAJE - BARRA SENCILLA TIPO 2</t>
  </si>
  <si>
    <t>N2S22</t>
  </si>
  <si>
    <t>MÓDULO DE BARRAJE - BARRA SENCILLA TIPO 3</t>
  </si>
  <si>
    <t>N2S23</t>
  </si>
  <si>
    <t>MÓDULO DE BARRAJE - BARRA DOBLE TIPO 1</t>
  </si>
  <si>
    <t>N2S24</t>
  </si>
  <si>
    <t>MÓDULO DE BARRAJE - BARRA DOBLE TIPO 2</t>
  </si>
  <si>
    <t>N2S25</t>
  </si>
  <si>
    <t>MÓDULO DE BARRAJE - BARRA DOBLE TIPO 3</t>
  </si>
  <si>
    <t>N2S26</t>
  </si>
  <si>
    <t>MÓDULO DE BARRAJE - BARRA PRINCIPAL Y TRANSFERENCIA - TIPO 1</t>
  </si>
  <si>
    <t>N2S27</t>
  </si>
  <si>
    <t>MÓDULO DE BARRAJE - BARRA PRINCIPAL Y TRANSFERENCIA - TIPO 2</t>
  </si>
  <si>
    <t>N2S28</t>
  </si>
  <si>
    <t>MÓDULO DE BARRAJE - BARRA PRINCIPAL Y TRANSFERENCIA - TIPO 3</t>
  </si>
  <si>
    <t>N2S29</t>
  </si>
  <si>
    <t>MÓDULO DE BARRAJE - SUBESTACIÓN REDUCIDA</t>
  </si>
  <si>
    <t>N3S1</t>
  </si>
  <si>
    <t>BAHÍA DE LÍNEA - CONFIGURACIÓN BARRA SENCILLA -TIPO CONVENCIONAL</t>
  </si>
  <si>
    <t>N3S2</t>
  </si>
  <si>
    <t>N3S3</t>
  </si>
  <si>
    <t>N3S4</t>
  </si>
  <si>
    <t>N3S5</t>
  </si>
  <si>
    <t>N3S6</t>
  </si>
  <si>
    <t>N3S7</t>
  </si>
  <si>
    <t>BAHÍA DE LÍNEA - CONFIGURACIÓN BARRA SENCILLA - TIPO ENCAPSULADA (SF6)</t>
  </si>
  <si>
    <t>N3S8</t>
  </si>
  <si>
    <t>BAHÍA DE TRANSFORMADOR - CONFIGURACIÓN BARRA SENCILLA - TIPO ENCAPSULADA (SF6)</t>
  </si>
  <si>
    <t>N3S9</t>
  </si>
  <si>
    <t>BAHÍA DE LÍNEA - CONFIGURACIÓN BARRA DOBLE - TIPO ENCAPSULADA (SF6)</t>
  </si>
  <si>
    <t>N3S10</t>
  </si>
  <si>
    <t>BAHÍA DE TRANSFORMADOR - CONFIGURACIÓN BARRA DOBLE - TIPO ENCAPSULADA (SF6)</t>
  </si>
  <si>
    <t>N3S11</t>
  </si>
  <si>
    <t>CELDA DE LÍNEA - SUBESTACIÓN TIPO METALCLAD</t>
  </si>
  <si>
    <t>N3S12</t>
  </si>
  <si>
    <t>CELDA DE TRANSFORMADOR O ACOPLE - SUBESTACIÓN TIPO METALCLAD</t>
  </si>
  <si>
    <t>N3S13</t>
  </si>
  <si>
    <t>BAHÍA DE LÍNEA - SUBESTACIÓN CONVENCIONAL REDUCIDA - TIPO 1</t>
  </si>
  <si>
    <t>N3S14</t>
  </si>
  <si>
    <t>BAHÍA DE TRANSFORMADOR - SUBESTACIÓN CONVENCIONAL REDUCIDA - TIPO 1</t>
  </si>
  <si>
    <t>N3S15</t>
  </si>
  <si>
    <t>BAHÍA DE LÍNEA - SUBESTACIÓN CONVENCIONAL REDUCIDA - TIPO 2</t>
  </si>
  <si>
    <t>N3S16</t>
  </si>
  <si>
    <t>BAHÍA DE TRANSFORMADOR - SUBESTACIÓN CONVENCIONAL REDUCIDA - TIPO 2</t>
  </si>
  <si>
    <t>N3S17</t>
  </si>
  <si>
    <t xml:space="preserve">BAHÍA DE LÍNEA - SUBESTACIÓN REDUCIDA </t>
  </si>
  <si>
    <t>N3S18</t>
  </si>
  <si>
    <t xml:space="preserve">BAHÍA DE TRANSFORMADOR - SUBESTACIÓN REDUCIDA </t>
  </si>
  <si>
    <t>N3S19</t>
  </si>
  <si>
    <t>BAHÍA DE ACOPLE - TIPO CONVENCIONAL</t>
  </si>
  <si>
    <t>N3S20</t>
  </si>
  <si>
    <t>BAHÍA DE ACOPLE - TIPO ENCAPSULADA (SF6)</t>
  </si>
  <si>
    <t>N3S21</t>
  </si>
  <si>
    <t>PROTECCIÓN DIFERENCIAL - BARRA SENCILLA - TIPO 1 O TIPO 2</t>
  </si>
  <si>
    <t>N3S22</t>
  </si>
  <si>
    <t>PROTECCIÓN DIFERENCIAL - OTRAS CONFIGURACIONES DIFERENTES A BARRA SENCILLA - TIPO 1 O TIPO 2</t>
  </si>
  <si>
    <t>N3S23</t>
  </si>
  <si>
    <t>PROTECCIÓN DIFERENCIAL - BARRAJE PARTIDO</t>
  </si>
  <si>
    <t>N3S24</t>
  </si>
  <si>
    <t xml:space="preserve">MÓDULO DE BARRAJE - BARRA SENCILLA - TIPO CONVENCIONAL - TIPO 1 </t>
  </si>
  <si>
    <t>N3S25</t>
  </si>
  <si>
    <t xml:space="preserve">MÓDULO DE BARRAJE - BARRA SENCILLA - TIPO CONVENCIONAL - TIPO 2 </t>
  </si>
  <si>
    <t>N3S26</t>
  </si>
  <si>
    <t xml:space="preserve">MÓDULO DE BARRAJE - BARRA SENCILLA - TIPO CONVENCIONAL - TIPO 3 </t>
  </si>
  <si>
    <t>N3S27</t>
  </si>
  <si>
    <t>MÓDULO DE BARRAJE - BARRA DOBLE - TIPO 1</t>
  </si>
  <si>
    <t>N3S28</t>
  </si>
  <si>
    <t>MODULO DE BARRAJE - BARRA DOBLE - TIPO 2</t>
  </si>
  <si>
    <t>N3S29</t>
  </si>
  <si>
    <t>MODULO DE BARRAJE - BARRA DOBLE - TIPO 3</t>
  </si>
  <si>
    <t>N3S30</t>
  </si>
  <si>
    <t>MÓDULO DE BARRAJE - BARRA PRINCIPAL Y TRANSFERENCIA - TIPO CONVENCIONAL - TIPO 1</t>
  </si>
  <si>
    <t>N3S31</t>
  </si>
  <si>
    <t>MÓDULO DE BARRAJE - BARRA PRINCIPAL Y TRANSFERENCIA - TIPO CONVENCIONAL - TIPO 2</t>
  </si>
  <si>
    <t>N3S32</t>
  </si>
  <si>
    <t>MÓDULO DE BARRAJE - BARRA PRINCIPAL Y TRANSFERENCIA - TIPO CONVENCIONAL - TIPO 3</t>
  </si>
  <si>
    <t>N3S33</t>
  </si>
  <si>
    <t>MÓDULO DE BARRAJE - CONVENCIONAL REDUCIDA</t>
  </si>
  <si>
    <t>N3S34</t>
  </si>
  <si>
    <t>MÓDULO COMÚN - TIPO 1</t>
  </si>
  <si>
    <t>N3S35</t>
  </si>
  <si>
    <t>MÓDULO COMÚN - TIPO 2</t>
  </si>
  <si>
    <t>N3S36</t>
  </si>
  <si>
    <t>MÓDULO COMÚN - TIPO 3</t>
  </si>
  <si>
    <t>N3S37</t>
  </si>
  <si>
    <t>MÓDULO COMÚN - TIPO 4</t>
  </si>
  <si>
    <t>N3S38</t>
  </si>
  <si>
    <t>SISTEMAS DE CONTROL DE LA SUBESTACIÓN</t>
  </si>
  <si>
    <t>N3S39</t>
  </si>
  <si>
    <t>SUBESTACIÓN MÓVIL 30 MVA</t>
  </si>
  <si>
    <t>N3S40</t>
  </si>
  <si>
    <t>SUBESTACIÓN MÓVIL 15 MVA</t>
  </si>
  <si>
    <t>N3S41</t>
  </si>
  <si>
    <t>SUBESTACIÓN MÓVIL 21 MVA</t>
  </si>
  <si>
    <t>N3S42</t>
  </si>
  <si>
    <t xml:space="preserve">SUBESTACIÓN MÓVIL 7.5 MVA </t>
  </si>
  <si>
    <t>N3S43</t>
  </si>
  <si>
    <t>SUBESTACIÓN SIMPLIFICADA (RURAL)</t>
  </si>
  <si>
    <t>N3S44</t>
  </si>
  <si>
    <t>CASA DE CONTROL NIVEL DE TENSIÓN 3 ($/m2)</t>
  </si>
  <si>
    <t>N4S1</t>
  </si>
  <si>
    <t>N4S2</t>
  </si>
  <si>
    <t>N4S3</t>
  </si>
  <si>
    <t>N4S4</t>
  </si>
  <si>
    <t>N4S5</t>
  </si>
  <si>
    <t>BAHÍA DE LÍNEA - CONFIGURACIÓN BARRA DOBLE CON BY PASS - TIPO CONVENCIONAL</t>
  </si>
  <si>
    <t>N4S6</t>
  </si>
  <si>
    <t>BAHÍA DE TRANSFORMADOR - CONFIGURACIÓN BARRA DOBLE CON BY PASS - TIPO CONVENCIONAL</t>
  </si>
  <si>
    <t>N4S7</t>
  </si>
  <si>
    <t>N4S8</t>
  </si>
  <si>
    <t>N4S9</t>
  </si>
  <si>
    <t>BAHÍA DE LÍNEA - CONFIGURACIÓN  INTERRUPTOR Y MEDIO - TIPO CONVENCIONAL</t>
  </si>
  <si>
    <t>N4S10</t>
  </si>
  <si>
    <t>BAHÍA DE TRANSFORMADOR - CONFIGURACIÓN  INTERRUPTOR Y MEDIO - TIPO CONVENCIONAL</t>
  </si>
  <si>
    <t>N4S11</t>
  </si>
  <si>
    <t>BAHÍA DE LÍNEA - CONFIGURACIÓN  EN ANILLO - TIPO CONVENCIONAL</t>
  </si>
  <si>
    <t>N4S12</t>
  </si>
  <si>
    <t>BAHÍA DE TRANSFORMADOR - CONFIGURACIÓN EN ANILLO - TIPO CONVENCIONAL</t>
  </si>
  <si>
    <t>N4S13</t>
  </si>
  <si>
    <t>N4S14</t>
  </si>
  <si>
    <t>BAHÍA DE TRANSFORMADOR - CONFIGURACIÓN BARRA SENCILLA - TIPO ENCAPSULADA(SF6)</t>
  </si>
  <si>
    <t>N4S15</t>
  </si>
  <si>
    <t>N4S16</t>
  </si>
  <si>
    <t>BAHÍA DE TRANSFORMADOR - CONFIGURACIÓN BARRA DOBLE - TIPO ENCAPSULADA(SF6)</t>
  </si>
  <si>
    <t>N4S17</t>
  </si>
  <si>
    <t>BAHÍA DE MANIOBRA - (ACOPLE - TRANSFERENCIA O SECCIONAMIENTO) - TIPO CONVENCIONAL</t>
  </si>
  <si>
    <t>N4S18</t>
  </si>
  <si>
    <t>BAHÍA DE MANIOBRA - TIPO ENCAPSULADA (SF6)</t>
  </si>
  <si>
    <t>N4S19</t>
  </si>
  <si>
    <t>PROTECCIÓN DIFERENCIAL DE BARRAS DE UNA/DOS/TRES/CUATRO ZONAS</t>
  </si>
  <si>
    <t>N4S20</t>
  </si>
  <si>
    <t>MÓDULO DE BARRAJE TIPO 1 - CONFIGURACIÓN BARRA SENCILLA - TIPO CONVENCIONAL</t>
  </si>
  <si>
    <t>N4S21</t>
  </si>
  <si>
    <t>MÓDULO DE BARRAJE TIPO 2 - CONFIGURACIÓN BARRA SENCILLA - TIPO CONVENCIONAL</t>
  </si>
  <si>
    <t>N4S22</t>
  </si>
  <si>
    <t>MÓDULO DE BARRAJE TIPO 3 - CONFIGURACIÓN BARRA SENCILLA - TIPO CONVENCIONAL</t>
  </si>
  <si>
    <t>N4S23</t>
  </si>
  <si>
    <t>MÓDULO DE BARRAJE TIPO 4 - CONFIGURACIÓN BARRA SENCILLA - TIPO CONVENCIONAL</t>
  </si>
  <si>
    <t>N4S24</t>
  </si>
  <si>
    <t>MÓDULO DE BARRAJE TIPO 1 - CONFIGURACIÓN BARRA DOBLE - TIPO CONVENCIONAL</t>
  </si>
  <si>
    <t>N4S25</t>
  </si>
  <si>
    <t>MÓDULO DE BARRAJE TIPO 2 - CONFIGURACIÓN BARRA DOBLE - TIPO CONVENCIONAL</t>
  </si>
  <si>
    <t>N4S26</t>
  </si>
  <si>
    <t>MÓDULO DE BARRAJE TIPO 3 - CONFIGURACIÓN BARRA DOBLE - TIPO CONVENCIONAL</t>
  </si>
  <si>
    <t>N4S27</t>
  </si>
  <si>
    <t>MÓDULO DE BARRAJE TIPO 4 - CONFIGURACIÓN BARRA DOBLE - TIPO CONVENCIONAL</t>
  </si>
  <si>
    <t>N4S28</t>
  </si>
  <si>
    <t>MÓDULO DE BARRAJE TIPO 1 - CONFIGURACIÓN BARRA DOBLE CON BY PASS - TIPO CONVENCIONAL</t>
  </si>
  <si>
    <t>N4S29</t>
  </si>
  <si>
    <t>MÓDULO DE BARRAJE TIPO 2 - CONFIGURACIÓN BARRA DOBLE CON BY PASS - TIPO CONVENCIONAL</t>
  </si>
  <si>
    <t>N4S30</t>
  </si>
  <si>
    <t>MÓDULO DE BARRAJE TIPO 3 - CONFIGURACIÓN BARRA DOBLE CON BY PASS - TIPO CONVENCIONAL</t>
  </si>
  <si>
    <t>N4S31</t>
  </si>
  <si>
    <t>MÓDULO DE BARRAJE TIPO 4 - CONFIGURACIÓN BARRA DOBLE CON BY PASS - TIPO CONVENCIONAL</t>
  </si>
  <si>
    <t>N4S32</t>
  </si>
  <si>
    <t>MÓDULO DE BARRAJE TIPO 1 - CONFIGURACIÓN BARRA PRINCIPAL Y TRANSFERENCIA - TIPO CONVENCIONAL</t>
  </si>
  <si>
    <t>N4S33</t>
  </si>
  <si>
    <t>MÓDULO DE BARRAJE TIPO 2 - CONFIGURACIÓN BARRA PRINCIPAL Y TRANSFERENCIA - TIPO CONVENCIONAL</t>
  </si>
  <si>
    <t>N4S34</t>
  </si>
  <si>
    <t>MÓDULO DE BARRAJE TIPO 3 - CONFIGURACIÓN BARRA PRINCIPAL Y TRANSFERENCIA - TIPO CONVENCIONAL</t>
  </si>
  <si>
    <t>N4S35</t>
  </si>
  <si>
    <t>MÓDULO DE BARRAJE TIPO 4 - CONFIGURACIÓN BARRA PRINCIPAL Y TRANSFERENCIA - TIPO CONVENCIONAL</t>
  </si>
  <si>
    <t>N4S36</t>
  </si>
  <si>
    <t>MÓDULO DE BARRAJE TIPO 2 - CONFIGURACIÓN INTERRUPTOR Y MEDIO - TIPO CONVENCIONAL</t>
  </si>
  <si>
    <t>N4S37</t>
  </si>
  <si>
    <t>MÓDULO DE BARRAJE TIPO 3 - CONFIGURACIÓN INTERRUPTOR Y MEDIO - TIPO CONVENCIONAL</t>
  </si>
  <si>
    <t>N4S38</t>
  </si>
  <si>
    <t>MÓDULO DE BARRAJE TIPO 4 - CONFIGURACIÓN INTERRUPTOR Y MEDIO - TIPO CONVENCIONAL</t>
  </si>
  <si>
    <t>N4S39</t>
  </si>
  <si>
    <t>MÓDULO DE BARRAJE TIPO 2 - CONFIGURACIÓN  EN ANILLO - TIPO CONVENCIONAL</t>
  </si>
  <si>
    <t>N4S40</t>
  </si>
  <si>
    <t>MÓDULO DE BARRAJE TIPO 3 - CONFIGURACIÓN  EN ANILLO - TIPO CONVENCIONAL</t>
  </si>
  <si>
    <t>N4S41</t>
  </si>
  <si>
    <t>MÓDULO COMÚN TIPO 1 (1 A 3 BAHÍAS) - TIPO CONVENCIONAL O ENCAPSULADA - CUALQUIER CONFIGURACIÓN</t>
  </si>
  <si>
    <t>N4S42</t>
  </si>
  <si>
    <t>MÓDULO COMÚN TIPO 2 (4 A 6 BAHÍAS) - TIPO CONVENCIONAL O ENCAPSULADA- CUALQUIER CONFIGURACIÓN</t>
  </si>
  <si>
    <t>N4S43</t>
  </si>
  <si>
    <t>MÓDULO COMÚN TIPO 3  (7 A 9 BAHÍAS) - TIPO CONVENCIONAL O ENCAPSULADA- CUALQUIER CONFIGURACIÓN</t>
  </si>
  <si>
    <t>N4S44</t>
  </si>
  <si>
    <t>MÓDULO COMÚN TIPO 4 (MAS DE 9 BAHÍAS) - TIPO CONVENCIONAL O ENCAPSULADA- CUALQUIER CONFIGURACIÓN</t>
  </si>
  <si>
    <t>N4S45</t>
  </si>
  <si>
    <t>SISTEMA DE CONTROL DE LA SUBESTACIÓN (S/E 115 KV/34.5 KV) O (S/E 115KV/ 13.8 KV)</t>
  </si>
  <si>
    <t>N4S46</t>
  </si>
  <si>
    <t>CAMPO MÓVIL ENCAPSULADO NIVEL 4</t>
  </si>
  <si>
    <t>N4S47</t>
  </si>
  <si>
    <t>BAHÍA DE MANIOBRA - (SECCIONAMIENTO DE BARRAS SIN INTERRUPTOR) - TIPO CONVENCIONAL</t>
  </si>
  <si>
    <t>N4S48</t>
  </si>
  <si>
    <t>CASA DE CONTROL NIVEL DE TENSIÓN 4 ($/m2)</t>
  </si>
  <si>
    <t>N5S1</t>
  </si>
  <si>
    <t xml:space="preserve">BAHÍA DE TRANSFORMADOR, DOBLE BARRA MÁS SECCIONADOR DE TRANSFERENCIA, 500 kV </t>
  </si>
  <si>
    <t>N5S2</t>
  </si>
  <si>
    <t>BAHÍA DE TRANSFORMADOR, BARRA SENCILLA, 230 kV</t>
  </si>
  <si>
    <t>N5S3</t>
  </si>
  <si>
    <t>BAHÍA DE TRANSFORMADOR, BARRA PRINCIPAL Y TRANSFERENCIA, 230 kV</t>
  </si>
  <si>
    <t>N5S4</t>
  </si>
  <si>
    <t>BAHÍA DE TRANSFORMADOR, DOBLE BARRA, 230 kV</t>
  </si>
  <si>
    <t>N5S5</t>
  </si>
  <si>
    <t>BAHÍA DE TRANSFORMADOR, DOBLE BARRA MÁS TRANSFERENCIA, 230 kV</t>
  </si>
  <si>
    <t>N5S6</t>
  </si>
  <si>
    <t>BAHÍA DE TRANSFORMADOR, DOBLE BARRA MÁS SECCIONADOR DE BY PASS, 230 kV</t>
  </si>
  <si>
    <t>N5S7</t>
  </si>
  <si>
    <t>MÓDULO COMÚN ACTIVOS DE CONEXIÓN AL STN</t>
  </si>
  <si>
    <t>N5S8</t>
  </si>
  <si>
    <t>CENTRO DE SUPERVISIÓN Y CONTROL PARA ACTIVOS DE CONEXIÓN STN</t>
  </si>
  <si>
    <t>N5S9</t>
  </si>
  <si>
    <t>BAHÍA DE TRANSFORMADOR, DOBLE BARRA ENCAPSULADA, 230 kV</t>
  </si>
  <si>
    <t>N5S10</t>
  </si>
  <si>
    <t>SERVICIOS AUXILIARES DE CONEXIÓN AL STN</t>
  </si>
  <si>
    <t>CCS1</t>
  </si>
  <si>
    <t>SCADA TIPO 1</t>
  </si>
  <si>
    <t>CCS2</t>
  </si>
  <si>
    <t>SISTEMA DE MANEJO DE ENERGÍA: EMS TIPO 1</t>
  </si>
  <si>
    <t>CCS3</t>
  </si>
  <si>
    <t>SISTEMA DE GESTIÓN DE DISTRIBUCIÓN: DMS TIPO 1</t>
  </si>
  <si>
    <t>CCS4</t>
  </si>
  <si>
    <t>SISTEMA DE INFORMACIÓN GEOGRÁFICO: GIS TIPO 1</t>
  </si>
  <si>
    <t>CCS5</t>
  </si>
  <si>
    <t>ENLACE ICCP TIPO 1</t>
  </si>
  <si>
    <t>CCS6</t>
  </si>
  <si>
    <t>SISTEMAS DE MEDIDA CALIDAD  Y REGISTRO (DES-FES, PQ, kWh) TIPO 1</t>
  </si>
  <si>
    <t>CCS7</t>
  </si>
  <si>
    <t>SISTEMA DE COMUNICACIONES TIPO 1</t>
  </si>
  <si>
    <t>CCS8</t>
  </si>
  <si>
    <t>EDIFICIO DE CONTROL TIPO 1</t>
  </si>
  <si>
    <t>CCS9</t>
  </si>
  <si>
    <t xml:space="preserve">SCADA TIPO 2 </t>
  </si>
  <si>
    <t>CCS10</t>
  </si>
  <si>
    <t>SISTEMA DE MANEJO DE ENERGÍA: EMS TIPO 2</t>
  </si>
  <si>
    <t>CCS11</t>
  </si>
  <si>
    <t>SISTEMA DE GESTIÓN DE DISTRIBUCIÓN: DMS TIPO 2</t>
  </si>
  <si>
    <t>CCS12</t>
  </si>
  <si>
    <t>SISTEMA DE INFORMACIÓN GEOGRÁFICO: GIS TIPO 2</t>
  </si>
  <si>
    <t>CCS13</t>
  </si>
  <si>
    <t>ENLACE ICCP TIPO 2</t>
  </si>
  <si>
    <t>CCS14</t>
  </si>
  <si>
    <t>SISTEMAS DE MEDIDA CALIDAD  Y REGISTRO (DES-FES, PQ, kWh) TIPO 2</t>
  </si>
  <si>
    <t>CCS15</t>
  </si>
  <si>
    <t>SISTEMA DE COMUNICACIONES TIPO 2</t>
  </si>
  <si>
    <t>CCS16</t>
  </si>
  <si>
    <t>EDIFICIO DE CONTROL TIPO 2</t>
  </si>
  <si>
    <t>CCS17</t>
  </si>
  <si>
    <t xml:space="preserve">SCADA TIPO 3 </t>
  </si>
  <si>
    <t>CCS18</t>
  </si>
  <si>
    <t>SISTEMA DE MANEJO DE ENERGÍA: EMS TIPO 3</t>
  </si>
  <si>
    <t>CCS19</t>
  </si>
  <si>
    <t>SISTEMA DE GESTIÓN DE DISTRIBUCIÓN: DMS TIPO 3</t>
  </si>
  <si>
    <t>CCS20</t>
  </si>
  <si>
    <t>SISTEMA DE INFORMACIÓN GEOGRÁFICO: GIS TIPO 3</t>
  </si>
  <si>
    <t>CCS21</t>
  </si>
  <si>
    <t>ENLACE ICCP TIPO 3</t>
  </si>
  <si>
    <t>CCS22</t>
  </si>
  <si>
    <t>SISTEMAS DE MEDIDA CALIDAD  Y REGISTRO (DES-FES, PQ, kWh) TIPO 3</t>
  </si>
  <si>
    <t>CCS23</t>
  </si>
  <si>
    <t>SISTEMA DE COMUNICACIONES TIPO 3</t>
  </si>
  <si>
    <t>CCS24</t>
  </si>
  <si>
    <t>EDIFICIO DE CONTROL TIPO 3</t>
  </si>
  <si>
    <t>CCS25</t>
  </si>
  <si>
    <t>SCADA TIPO 4</t>
  </si>
  <si>
    <t>CCS26</t>
  </si>
  <si>
    <t>SISTEMA DE MANEJO DE ENERGÍA: EMS TIPO 4</t>
  </si>
  <si>
    <t>CCS27</t>
  </si>
  <si>
    <t>SISTEMA DE GESTIÓN DE DISTRIBUCIÓN: DMS TIPO 4</t>
  </si>
  <si>
    <t>CCS28</t>
  </si>
  <si>
    <t>SISTEMA DE INFORMACIÓN GEOGRÁFICO: GIS TIPO 4</t>
  </si>
  <si>
    <t>CCS29</t>
  </si>
  <si>
    <t>ENLACE ICCP TIPO 4</t>
  </si>
  <si>
    <t>CCS30</t>
  </si>
  <si>
    <t>SISTEMAS DE MEDIDA CALIDAD  Y REGISTRO (DES-FES, PQ, kWh) TIPO 4</t>
  </si>
  <si>
    <t>CCS31</t>
  </si>
  <si>
    <t>SISTEMA DE COMUNICACIONES TIPO 4</t>
  </si>
  <si>
    <t>CCS32</t>
  </si>
  <si>
    <t>EDIFICIO DE CONTROL TIPO 4</t>
  </si>
  <si>
    <t>N4EQ1</t>
  </si>
  <si>
    <t>UNIDAD DE ADQUISICIÓN DE DATOS</t>
  </si>
  <si>
    <t>N4EQ2</t>
  </si>
  <si>
    <t>TRANSFORMADOR DE TENSIÓN NIVEL 4</t>
  </si>
  <si>
    <t>N4EQ3</t>
  </si>
  <si>
    <t>ARMARIO CONCENTRADOR (MARSHALL IN KIOSK)</t>
  </si>
  <si>
    <t>N4EQ4</t>
  </si>
  <si>
    <t>UNIDAD DE CALIDAD DE POTENCIA (PQ) CREG 024 DE 2005</t>
  </si>
  <si>
    <t>N4EQ5</t>
  </si>
  <si>
    <t>ENLACE DE COMUNICACIONES SATELITAL</t>
  </si>
  <si>
    <t>N4EQ6</t>
  </si>
  <si>
    <t>ENLACE DE COMUNICACIONES MICROONDAS</t>
  </si>
  <si>
    <t>N4EQ7</t>
  </si>
  <si>
    <t>ENLACE DE FIBRA ÓPTICA</t>
  </si>
  <si>
    <t>N4EQ8</t>
  </si>
  <si>
    <t>SISTEMA DE COMUNICACIONES POR ONDA PORTADORA</t>
  </si>
  <si>
    <t>N4EQ9</t>
  </si>
  <si>
    <t>SISTEMA DE TELEPROTECCIÓN</t>
  </si>
  <si>
    <t>N4EQ10</t>
  </si>
  <si>
    <t>INTERFACE DE USUARIO (IHM)</t>
  </si>
  <si>
    <t>N4EQ11</t>
  </si>
  <si>
    <t>UNIDAD TERMINAL REMOTA</t>
  </si>
  <si>
    <t>N4EQ12</t>
  </si>
  <si>
    <t>GATEWAY DE COMUNICACIONES</t>
  </si>
  <si>
    <t>N3EQ1</t>
  </si>
  <si>
    <t>EQUIPO DE MEDIDA</t>
  </si>
  <si>
    <t>N3EQ2</t>
  </si>
  <si>
    <t>JUEGO DE CUCHILLAS PARA OPERACIÓN SIN CARGA NIVEL 3</t>
  </si>
  <si>
    <t>N3EQ3</t>
  </si>
  <si>
    <t>JUEGO DE PARARRAYOS NIVEL 3</t>
  </si>
  <si>
    <t>N3EQ4</t>
  </si>
  <si>
    <t>JUEGO DE SECCIONADORES TRIPOLAR BAJO CARGA NIVEL 3</t>
  </si>
  <si>
    <t>N3EQ5</t>
  </si>
  <si>
    <t>RECONECTADOR N3</t>
  </si>
  <si>
    <t>N3EQ6</t>
  </si>
  <si>
    <t>REGULADOR 36 KV</t>
  </si>
  <si>
    <t>N3EQ7</t>
  </si>
  <si>
    <t>SECCIONALIZADOR MANUAL BAJO CARGA</t>
  </si>
  <si>
    <t>N3EQ8</t>
  </si>
  <si>
    <t>SECCIONALIZADOR ELÉCTRICO (MOTORIZADO) N3</t>
  </si>
  <si>
    <t>N3EQ9</t>
  </si>
  <si>
    <t>TRANSICIÓN AÉREA - SUBTERRÁNEA N3</t>
  </si>
  <si>
    <t>N3EQ10</t>
  </si>
  <si>
    <t>TRANSFORMADOR DE PUESTA A TIERRA</t>
  </si>
  <si>
    <t>N3EQ11</t>
  </si>
  <si>
    <t>TRANSFORMADOR DE TENSIÓN NIVEL 3</t>
  </si>
  <si>
    <t>N3EQ12</t>
  </si>
  <si>
    <t>UNIDAD DE ADQUISICIÓN DE DATOS NIVEL 3</t>
  </si>
  <si>
    <t>N3EQ13</t>
  </si>
  <si>
    <t>N3EQ14</t>
  </si>
  <si>
    <t>N3EQ15</t>
  </si>
  <si>
    <t>N3EQ16</t>
  </si>
  <si>
    <t>N3EQ17</t>
  </si>
  <si>
    <t>N3EQ18</t>
  </si>
  <si>
    <t>N3EQ19</t>
  </si>
  <si>
    <t>N3EQ20</t>
  </si>
  <si>
    <t>N3EQ21</t>
  </si>
  <si>
    <t>N3EQ22</t>
  </si>
  <si>
    <t>JUEGO DE CORTACIRCUITOS NIVEL 3</t>
  </si>
  <si>
    <t>N3EQ23</t>
  </si>
  <si>
    <t>JUEGO DE PARARRAYOS NIVEL 3 (44 kV)</t>
  </si>
  <si>
    <t>N3EQ24</t>
  </si>
  <si>
    <t>TRANSICIÓN AÉREA - SUBTERRÁNEA N3 (44 kV)</t>
  </si>
  <si>
    <t>N3EQ25</t>
  </si>
  <si>
    <t>INDICADOR FALLA SUBTERRANEO NIVEL 3</t>
  </si>
  <si>
    <t>N2EQ1</t>
  </si>
  <si>
    <t>BARRAJE DE DERIVACIÓN SUBTERRÁNEO N2</t>
  </si>
  <si>
    <t>N2EQ2</t>
  </si>
  <si>
    <t>CAJA DE MANIOBRA N2, SUMERGIBLE CON CODOS</t>
  </si>
  <si>
    <t>N2EQ3</t>
  </si>
  <si>
    <t>CONTROL DE BANCOS DE CAPACITORES</t>
  </si>
  <si>
    <t>N2EQ4</t>
  </si>
  <si>
    <t>BANCO DE CONDENSADORES MONTAJE EN POSTE 150KVAR</t>
  </si>
  <si>
    <t>N2EQ5</t>
  </si>
  <si>
    <t>BANCO DE CONDENSADORES MONTAJE EN POSTE 300KVAR</t>
  </si>
  <si>
    <t>N2EQ6</t>
  </si>
  <si>
    <t>BANCO DE CONDENSADORES MONTAJE EN POSTE 450KVAR</t>
  </si>
  <si>
    <t>N2EQ7</t>
  </si>
  <si>
    <t>BANCO DE CONDENSADORES MONTAJE EN POSTE 600KVAR</t>
  </si>
  <si>
    <t>N2EQ8</t>
  </si>
  <si>
    <t>BANCO DE CONDENSADORES MONTAJE EN POSTE 900KVAR</t>
  </si>
  <si>
    <t>N2EQ9</t>
  </si>
  <si>
    <t>CORTACIRCUITOS 15 kV MONOFÁSICO</t>
  </si>
  <si>
    <t>N2EQ10</t>
  </si>
  <si>
    <t>N2EQ11</t>
  </si>
  <si>
    <t>INDICADOR FALLA MONOFÁSICO</t>
  </si>
  <si>
    <t>N2EQ12</t>
  </si>
  <si>
    <t>JUEGO DE CORTACIRCUITOS MONOFÁSICOS N2</t>
  </si>
  <si>
    <t>N2EQ13</t>
  </si>
  <si>
    <t>JUEGO DE CUCHILLAS PARA OPERACIÓN SIN CARGA</t>
  </si>
  <si>
    <t>N2EQ14</t>
  </si>
  <si>
    <t xml:space="preserve">PARARRAYOS MONOFÁSICOS </t>
  </si>
  <si>
    <t>N2EQ15</t>
  </si>
  <si>
    <t>JUEGO DE PARARRAYOS MONOFÁSICOS N2</t>
  </si>
  <si>
    <t>N2EQ16</t>
  </si>
  <si>
    <t>JUEGO DE SECCIONADORES TRIFÁSICO BAJO CARGA LÍNEAS</t>
  </si>
  <si>
    <t>N2EQ17</t>
  </si>
  <si>
    <t>JUEGO DE SECCIONADORES TRIFÁSICO BAJO CARGA S/E</t>
  </si>
  <si>
    <t>N2EQ18</t>
  </si>
  <si>
    <t>REGULADOR DE VOLTAJE TRIFÁSICOS DE DISTRIBUCIÓN</t>
  </si>
  <si>
    <t>N2EQ19</t>
  </si>
  <si>
    <t>REGULADOR DE VOLTAJE MONOFÁSICO HASTA 50 KVA</t>
  </si>
  <si>
    <t>N2EQ20</t>
  </si>
  <si>
    <t>REGULADOR DE VOLTAJE MONOFÁSICO HASTA 150 KVA</t>
  </si>
  <si>
    <t>N2EQ21</t>
  </si>
  <si>
    <t>REGULADOR DE VOLTAJE MONOFÁSICO HASTA 276 KVA</t>
  </si>
  <si>
    <t>N2EQ22</t>
  </si>
  <si>
    <t>REGULADOR DE VOLTAJE MONOFÁSICO HASTA 500 KVA</t>
  </si>
  <si>
    <t>N2EQ23</t>
  </si>
  <si>
    <t>REGULADOR DE VOLTAJE MONOFÁSICO HASTA 1000 KVA</t>
  </si>
  <si>
    <t>N2EQ24</t>
  </si>
  <si>
    <t>SECCIONADOR MONOPOLAR 14.4 KV</t>
  </si>
  <si>
    <t>N2EQ25</t>
  </si>
  <si>
    <t>SECCIONADOR TRIFÁSICO VACÍO</t>
  </si>
  <si>
    <t>N2EQ26</t>
  </si>
  <si>
    <t>SECCIONALIZADOR CON CONTROL INTELIGENTE, 400A</t>
  </si>
  <si>
    <t>N2EQ27</t>
  </si>
  <si>
    <t>SECCIONALIZADOR ELÉCTRICO, 400 A - EN SF6</t>
  </si>
  <si>
    <t>N2EQ28</t>
  </si>
  <si>
    <t>SECCIONALIZADOR MOTORIZADO N2</t>
  </si>
  <si>
    <t>N2EQ29</t>
  </si>
  <si>
    <t>SECCIONALIZADOR MANUAL (BAJO CARGA), 400 A</t>
  </si>
  <si>
    <t>N2EQ30</t>
  </si>
  <si>
    <t>INTERRUPTOR EN AIRE BAJO CARGA</t>
  </si>
  <si>
    <t>N2EQ31</t>
  </si>
  <si>
    <t>TRANSICIÓN AÉREA - SUBTERRÁNEA N2</t>
  </si>
  <si>
    <t>N2EQ32</t>
  </si>
  <si>
    <t>UNIDAD DE ADQUISICIÓN DE DATOS NIVEL 2</t>
  </si>
  <si>
    <t>N2EQ33</t>
  </si>
  <si>
    <t>N2EQ34</t>
  </si>
  <si>
    <t>N2EQ35</t>
  </si>
  <si>
    <t>RECONECTADOR N2</t>
  </si>
  <si>
    <t>N2EQ36</t>
  </si>
  <si>
    <t>INTERRUPTOR DE TRANSFERENCIA EN SF6 N2</t>
  </si>
  <si>
    <t>N2EQ37</t>
  </si>
  <si>
    <t>N2EQ38</t>
  </si>
  <si>
    <t>TRANSFORMADOR DE TENSIÓN NIVEL 2</t>
  </si>
  <si>
    <t>N5T1</t>
  </si>
  <si>
    <t>TRANSFORMADOR TRIFÁSICO (OLTC) - CONEXIÓN AL STN - CAPACIDAD FINAL HASTA 10  MVA</t>
  </si>
  <si>
    <t>N5T2</t>
  </si>
  <si>
    <t>TRANSFORMADOR TRIFÁSICO (OLTC) - CONEXIÓN AL STN - CAPACIDAD FINAL DE 11 A 20 MVA</t>
  </si>
  <si>
    <t>N5T3</t>
  </si>
  <si>
    <t>TRANSFORMADOR TRIFÁSICO (OLTC) - CONEXIÓN AL STN - CAPACIDAD FINAL DE 21 A 40 MVA</t>
  </si>
  <si>
    <t>N5T4</t>
  </si>
  <si>
    <t>TRANSFORMADOR TRIFÁSICO (OLTC) - CONEXIÓN AL STN - CAPACIDAD FINAL DE 41 A 50 MVA</t>
  </si>
  <si>
    <t>N5T5</t>
  </si>
  <si>
    <t>TRANSFORMADOR TRIFÁSICO (OLTC) - CONEXIÓN AL STN - CAPACIDAD FINAL DE 51 A 60 MVA</t>
  </si>
  <si>
    <t>N5T6</t>
  </si>
  <si>
    <t>TRANSFORMADOR TRIFÁSICO (OLTC) - CONEXIÓN AL STN - CAPACIDAD FINAL DE 61 A 90 MVA</t>
  </si>
  <si>
    <t>N5T7</t>
  </si>
  <si>
    <t>TRANSFORMADOR TRIFÁSICO (OLTC) - CONEXIÓN AL STN - CAPACIDAD FINAL DE 91 A 100 MVA</t>
  </si>
  <si>
    <t>N5T8</t>
  </si>
  <si>
    <t>TRANSFORMADOR TRIFÁSICO (OLTC) - CONEXIÓN AL STN - CAPACIDAD FINAL DE 101 A 120 MVA</t>
  </si>
  <si>
    <t>N5T9</t>
  </si>
  <si>
    <t>TRANSFORMADOR TRIFÁSICO (OLTC) - CONEXIÓN AL STN - CAPACIDAD FINAL DE 121 A 150 MVA</t>
  </si>
  <si>
    <t>N5T10</t>
  </si>
  <si>
    <t>TRANSFORMADOR TRIFÁSICO (OLTC) - CONEXIÓN AL STN - CAPACIDAD FINAL DE 151 A 180 MVA</t>
  </si>
  <si>
    <t>N5T11</t>
  </si>
  <si>
    <t>AUTOTRANSFORMADOR MONOFÁSICO (OLTC) - CONEXIÓN AL STN - CAPACIDAD FINAL HASTA 20 MVA</t>
  </si>
  <si>
    <t>N5T12</t>
  </si>
  <si>
    <t>AUTOTRANSFORMADOR MONOFÁSICO (OLTC) - CONEXIÓN AL STN - CAPACIDAD FINAL DE 21 A 40 MVA</t>
  </si>
  <si>
    <t>N5T13</t>
  </si>
  <si>
    <t>AUTOTRANSFORMADOR MONOFÁSICO (OLTC) - CONEXIÓN AL STN - CAPACIDAD FINAL DE 41 A 50 MVA</t>
  </si>
  <si>
    <t>N5T14</t>
  </si>
  <si>
    <t>AUTOTRANSFORMADOR MONOFÁSICO (OLTC) - CONEXIÓN AL STN - CAPACIDAD FINAL DE 51 A 60 MVA</t>
  </si>
  <si>
    <t>N5T15</t>
  </si>
  <si>
    <t>AUTOTRANSFORMADOR MONOFÁSICO (OLTC) - CONEXIÓN AL STN - CAPACIDAD FINAL DE 61 A 90 MVA</t>
  </si>
  <si>
    <t>N5T16</t>
  </si>
  <si>
    <t>AUTOTRANSFORMADOR MONOFÁSICO (OLTC) - CONEXIÓN AL STN - CAPACIDAD FINAL DE 91 A 100 MVA</t>
  </si>
  <si>
    <t>N5T17</t>
  </si>
  <si>
    <t>AUTOTRANSFORMADOR MONOFÁSICO (OLTC) - CONEXIÓN AL STN - CAPACIDAD FINAL DE 101 A 120 MVA</t>
  </si>
  <si>
    <t>N5T18</t>
  </si>
  <si>
    <t>AUTOTRANSFORMADOR MONOFÁSICO (OLTC) - CONEXIÓN AL STN - CAPACIDAD FINAL DE 121 A 150 MVA</t>
  </si>
  <si>
    <t>N5T19</t>
  </si>
  <si>
    <t>TRANSFORMADOR TRIDEVANADO TRIFÁSICO (OLTC) - CONEXIÓN AL STN - CAPACIDAD FINAL HASTA 20 MVA</t>
  </si>
  <si>
    <t>N5T20</t>
  </si>
  <si>
    <t>TRANSFORMADOR TRIDEVANADO TRIFÁSICO (OLTC) - CONEXIÓN AL STN - CAPACIDAD FINAL DE 21 A 40 MVA</t>
  </si>
  <si>
    <t>N5T21</t>
  </si>
  <si>
    <t>TRANSFORMADOR TRIDEVANADO TRIFÁSICO (OLTC) - CONEXIÓN AL STN - CAPACIDAD FINAL DE 41 A 50 MVA</t>
  </si>
  <si>
    <t>N5T22</t>
  </si>
  <si>
    <t>TRANSFORMADOR TRIDEVANADO TRIFÁSICO (OLTC) - CONEXIÓN AL STN - CAPACIDAD FINAL DE 51 A 60 MVA</t>
  </si>
  <si>
    <t>N5T23</t>
  </si>
  <si>
    <t>TRANSFORMADOR TRIDEVANADO TRIFÁSICO (OLTC) - CONEXIÓN AL STN - CAPACIDAD FINAL DE 61 A 90 MVA</t>
  </si>
  <si>
    <t>N5T24</t>
  </si>
  <si>
    <t>TRANSFORMADOR TRIDEVANADO TRIFÁSICO (OLTC) - CONEXIÓN AL STN - CAPACIDAD FINAL DE 91 A 120 MVA</t>
  </si>
  <si>
    <t>N5T25</t>
  </si>
  <si>
    <t>TRANSFORMADOR TRIDEVANADO TRIFÁSICO (OLTC) - CONEXIÓN AL STN - CAPACIDAD FINAL DE MAS DE 121 MVA</t>
  </si>
  <si>
    <t>N4T1</t>
  </si>
  <si>
    <t>TRANSFORMADOR TRIFÁSICO (OLTC) - LADO DE ALTA EN EL NIVEL 4 - CAPACIDAD FINAL HASTA 5 MVA</t>
  </si>
  <si>
    <t>N4T2</t>
  </si>
  <si>
    <t>TRANSFORMADOR TRIFÁSICO (OLTC) - LADO DE ALTA EN EL NIVEL 4  - CAPACIDAD FINAL DE 5  A 10 MVA</t>
  </si>
  <si>
    <t>N4T3</t>
  </si>
  <si>
    <t>TRANSFORMADOR TRIFÁSICO (OLTC) - LADO DE ALTA EN EL NIVEL 4 - CAPACIDAD FINAL DE 11 A 15 MVA</t>
  </si>
  <si>
    <t>N4T4</t>
  </si>
  <si>
    <t>TRANSFORMADOR TRIFÁSICO (OLTC) - LADO DE ALTA EN EL NIVEL 4 - CAPACIDAD FINAL DE 16 A 20 MVA</t>
  </si>
  <si>
    <t>N4T5</t>
  </si>
  <si>
    <t>TRANSFORMADOR TRIFÁSICO (OLTC) - LADO DE ALTA EN EL NIVEL 4 - CAPACIDAD FINAL DE 21 A 30 MVA</t>
  </si>
  <si>
    <t>N4T6</t>
  </si>
  <si>
    <t>TRANSFORMADOR TRIFÁSICO (OLTC) - LADO DE ALTA EN EL NIVEL 4 - CAPACIDAD FINAL DE 31 A 40 MVA</t>
  </si>
  <si>
    <t>N4T7</t>
  </si>
  <si>
    <t>TRANSFORMADOR TRIFÁSICO (OLTC) - LADO DE ALTA EN EL NIVEL 4 - CAPACIDAD FINAL DE 41 A 50 MVA</t>
  </si>
  <si>
    <t>N4T8</t>
  </si>
  <si>
    <t>TRANSFORMADOR TRIFÁSICO (OLTC) - LADO DE ALTA EN EL NIVEL 4 - CAPACIDAD FINAL DE 51 A 60 MVA</t>
  </si>
  <si>
    <t>N4T9</t>
  </si>
  <si>
    <t>TRANSFORMADOR TRIFÁSICO (OLTC) - LADO DE ALTA EN EL NIVEL 4 - CAPACIDAD FINAL DE 61 A 80 MVA</t>
  </si>
  <si>
    <t>N4T10</t>
  </si>
  <si>
    <t>TRANSFORMADOR TRIFÁSICO (OLTC) - LADO DE ALTA EN EL NIVEL 4 - CAPACIDAD FINAL DE 81 A 100 MVA</t>
  </si>
  <si>
    <t>N4T11</t>
  </si>
  <si>
    <t>TRANSFORMADOR TRIFÁSICO (OLTC) - LADO DE ALTA EN EL NIVEL 4 - CAPACIDAD FINAL MAYOR A 100 MVA</t>
  </si>
  <si>
    <t>N4T12</t>
  </si>
  <si>
    <t>TRANSFORMADOR TRIDEVANADO TRIFÁSICO (OLTC) - LADO ALTA NIVEL 4 - CAPACIDAD FINAL HASTA 5 MVA</t>
  </si>
  <si>
    <t>N4T13</t>
  </si>
  <si>
    <t>TRANSFORMADOR TRIDEVANADO TRIFÁSICO (OLTC) - LADO ALTA NIVEL 4 - CAPACIDAD FINAL DE 6 A 10 MVA</t>
  </si>
  <si>
    <t>N4T14</t>
  </si>
  <si>
    <t>TRANSFORMADOR TRIDEVANADO TRIFÁSICO (OLTC) - LADO ALTA NIVEL 4 - CAPACIDAD FINAL DE 11 A 20 MVA</t>
  </si>
  <si>
    <t>N4T15</t>
  </si>
  <si>
    <t>TRANSFORMADOR TRIDEVANADO TRIFÁSICO (OLTC) - LADO ALTA NIVEL 4 - CAPACIDAD FINAL DE 21 A 30 MVA</t>
  </si>
  <si>
    <t>N4T16</t>
  </si>
  <si>
    <t>TRANSFORMADOR TRIDEVANADO TRIFÁSICO (OLTC) - LADO ALTA NIVEL 4 - CAPACIDAD FINAL DE 31 A 40 MVA</t>
  </si>
  <si>
    <t>N4T17</t>
  </si>
  <si>
    <t>TRANSFORMADOR TRIDEVANADO TRIFÁSICO (OLTC) - LADO ALTA NIVEL 4 - CAPACIDAD FINAL DE 41 A 50 MVA</t>
  </si>
  <si>
    <t>N4T18</t>
  </si>
  <si>
    <t>TRANSFORMADOR TRIDEVANADO TRIFÁSICO (OLTC) - LADO ALTA NIVEL 4 - CAPACIDAD FINAL DE 51 A 60 MVA</t>
  </si>
  <si>
    <t>N4T19</t>
  </si>
  <si>
    <t>TRANSFORMADOR TRIDEVANADO TRIFÁSICO (OLTC) - LADO ALTA NIVEL 4 - CAPACIDAD FINAL MAYOR A 60 MVA</t>
  </si>
  <si>
    <t>N3T1</t>
  </si>
  <si>
    <t>TRANSFORMADOR TRIFÁSICO (NLTC) - LADO ALTA NIVEL 3 - CAPACIDAD FINAL DE 0.5 A 2.5 MVA</t>
  </si>
  <si>
    <t>N3T2</t>
  </si>
  <si>
    <t>TRANSFORMADOR TRIFÁSICO (NLTC) - LADO ALTA NIVEL 3 - CAPACIDAD FINAL DE 2.6 A 6 MVA</t>
  </si>
  <si>
    <t>N3T3</t>
  </si>
  <si>
    <t>TRANSFORMADOR TRIFÁSICO (OLTC) - LADO ALTA NIVEL 3 - CAPACIDAD FINAL DE 6.1 A 10 MVA</t>
  </si>
  <si>
    <t>N3T4</t>
  </si>
  <si>
    <t>TRANSFORMADOR TRIFÁSICO (OLTC) - LADO ALTA NIVEL 3 - CAPACIDAD FINAL DE 11 A 15 MVA</t>
  </si>
  <si>
    <t>N3T5</t>
  </si>
  <si>
    <t>TRANSFORMADOR TRIFÁSICO (OLTC) - LADO ALTA NIVEL 3 - CAPACIDAD FINAL DE 16 A 20 MVA</t>
  </si>
  <si>
    <t>N3T6</t>
  </si>
  <si>
    <t>TRANSFORMADOR TRIFÁSICO (OLTC) - LADO ALTA NIVEL 3 - CAPACIDAD FINAL DE 21 A 30 MVA</t>
  </si>
  <si>
    <t>N3T7</t>
  </si>
  <si>
    <t>TRANSFORMADOR TRIFÁSICO (OLTC) - LADO ALTA NIVEL 3 - CAPACIDAD FINAL MAYOR A 31 MVA</t>
  </si>
  <si>
    <t>N4CR1</t>
  </si>
  <si>
    <t>COMPENSACIÓN REACTIVA - CADACIDAD FINAL MAYOR DE  3 A 6 MVAr - NIVEL 4</t>
  </si>
  <si>
    <t>N4CR2</t>
  </si>
  <si>
    <t>COMPENSACIÓN REACTIVA - CADACIDAD FINAL MAYOR DE  6 A 12 MVAr - NIVEL 4</t>
  </si>
  <si>
    <t>N4CR3</t>
  </si>
  <si>
    <t>COMPENSACIÓN REACTIVA - CADACIDAD FINAL MAYOR DE  12 A 18 MVAr - NIVEL 4</t>
  </si>
  <si>
    <t>N4CR4</t>
  </si>
  <si>
    <t>COMPENSACIÓN REACTIVA - CADACIDAD FINAL MAYOR DE  18 A 54 MVAr - NIVEL 4</t>
  </si>
  <si>
    <t>N4CR5</t>
  </si>
  <si>
    <t>COMPENSACIÓN REACTIVA - CADACIDAD FINAL MAYOR DE  54 A 90 MVAr - NIVEL 4</t>
  </si>
  <si>
    <t>N3CR1</t>
  </si>
  <si>
    <t>COMPENSACIÓN REACTIVA - CADACIDAD FINAL MAYOR DE  1,2 A 2,4 MVAr - NIVEL 3</t>
  </si>
  <si>
    <t>N3CR2</t>
  </si>
  <si>
    <t>COMPENSACIÓN REACTIVA - CADACIDAD FINAL MAYOR DE  2,4 A 5,4 MVAr - NIVEL 3</t>
  </si>
  <si>
    <t>N3CR3</t>
  </si>
  <si>
    <t>COMPENSACIÓN REACTIVA - CADACIDAD FINAL MAYOR DE  5,4 A 14,4 MVAr - NIVEL 3</t>
  </si>
  <si>
    <t>N3CR4</t>
  </si>
  <si>
    <t>COMPENSACIÓN REACTIVA - CADACIDAD FINAL MAYOR DE  14,4 A 28,8 MVAr - NIVEL 3</t>
  </si>
  <si>
    <t>N3CR5</t>
  </si>
  <si>
    <t>COMPENSACIÓN REACTIVA - CADACIDAD FINAL MAYOR DE  28,8 A 43,2 MVAr - NIVEL 3</t>
  </si>
  <si>
    <t>N2CR1</t>
  </si>
  <si>
    <t>COMPENSACIÓN REACTIVA - CADACIDAD FINAL MAYOR DE  90 A 180 kVAr - NIVEL 2</t>
  </si>
  <si>
    <t>N2CR2</t>
  </si>
  <si>
    <t>COMPENSACIÓN REACTIVA - CADACIDAD FINAL MAYOR DE  180 A 360 kVAr - NIVEL 2</t>
  </si>
  <si>
    <t>N2CR3</t>
  </si>
  <si>
    <t>COMPENSACIÓN REACTIVA - CADACIDAD FINAL MAYOR DE  360 A 600 kVAr - NIVEL 2</t>
  </si>
  <si>
    <t>N2CR4</t>
  </si>
  <si>
    <t>COMPENSACIÓN REACTIVA - CADACIDAD FINAL MAYOR DE  600 A 1200 kVAr - NIVEL 2</t>
  </si>
  <si>
    <t>N2CR5</t>
  </si>
  <si>
    <t>COMPENSACIÓN REACTIVA - CADACIDAD FINAL MAYOR DE  1200 A 2400 kVAr - NIVEL 2</t>
  </si>
  <si>
    <t>N2CR6</t>
  </si>
  <si>
    <t>COMPENSACIÓN REACTIVA - CADACIDAD FINAL MAYOR DE  2400 A 3600 kVAr - NIVEL 2</t>
  </si>
  <si>
    <t>NIVEL</t>
  </si>
  <si>
    <t>CODIGO DEL PROYECTO</t>
  </si>
  <si>
    <t>Nombre del proyecto:</t>
  </si>
  <si>
    <t>Inversión por año</t>
  </si>
  <si>
    <t>PARAMETROS DE CALCULO</t>
  </si>
  <si>
    <t>COSTO PARA UNIDADES CONSTRUCTIVAS EXISTENTES</t>
  </si>
  <si>
    <t>COSTO PARA UNIDADES CONSTRUCTIVAS NUEVAS</t>
  </si>
  <si>
    <t>Detalle</t>
  </si>
  <si>
    <t>UC 
097-2008</t>
  </si>
  <si>
    <t>Descripción</t>
  </si>
  <si>
    <t>Vida 
Útil</t>
  </si>
  <si>
    <t>Nivel</t>
  </si>
  <si>
    <t xml:space="preserve">Valor Instalado
[$Dic 2007] </t>
  </si>
  <si>
    <t xml:space="preserve">Valor Instalación
[$Dic 2007] </t>
  </si>
  <si>
    <t xml:space="preserve">Valor Unitario
[$/MVA Dic 2007] </t>
  </si>
  <si>
    <t xml:space="preserve">Valor Unitario
[$/kVAR Dic 2007] </t>
  </si>
  <si>
    <t>Cantidad 
Longitud (km)
Potencia (MVA o kVAR)</t>
  </si>
  <si>
    <t>Costo</t>
  </si>
  <si>
    <t xml:space="preserve">Pago </t>
  </si>
  <si>
    <t>Año</t>
  </si>
  <si>
    <t>DETALLE DE COSTOS  DE UNIDADES CONSTRUCTIVAS</t>
  </si>
  <si>
    <t>OBSERVACIONES</t>
  </si>
  <si>
    <t>Valores tomados de la resolución CREG 097 - 2008</t>
  </si>
  <si>
    <t xml:space="preserve">VALOR INSTALACIÓN 
[$Dic 2007] </t>
  </si>
  <si>
    <t xml:space="preserve">VALOR UNITARIO
[$/MVA Dic 2007] </t>
  </si>
  <si>
    <t xml:space="preserve">VALOR UNITARIO
[$/kVAR Dic 2007] </t>
  </si>
  <si>
    <t>TIPO</t>
  </si>
  <si>
    <t>LINEA</t>
  </si>
  <si>
    <t>EQUIPOS SUBESTACION</t>
  </si>
  <si>
    <t>MODULOS DE TRANSFORMADOR</t>
  </si>
  <si>
    <t>CENTRO DE CONTROL Y CALIDAD</t>
  </si>
  <si>
    <t>EQUIPOS</t>
  </si>
  <si>
    <t>TRANSFORMADORES</t>
  </si>
  <si>
    <t>EQUIPOS DE COMPENSACION</t>
  </si>
  <si>
    <t>TOTAL INVERSIÓN (PRECIOS CGRE 2007)</t>
  </si>
  <si>
    <t>BENEFICIOS POR PEAJES</t>
  </si>
  <si>
    <t>DURACION DE PROYECTO</t>
  </si>
  <si>
    <t>INICIO DE BENEFICIOS</t>
  </si>
  <si>
    <t>Año inicio</t>
  </si>
  <si>
    <t>Año fin</t>
  </si>
  <si>
    <t>Año 5</t>
  </si>
  <si>
    <t>Años de inversion del proyecto</t>
  </si>
  <si>
    <t>% Costo Año 1</t>
  </si>
  <si>
    <t>% Costo Año 2</t>
  </si>
  <si>
    <t>% Costo Año 3</t>
  </si>
  <si>
    <t>% Costo Año 4</t>
  </si>
  <si>
    <t>WACC %</t>
  </si>
  <si>
    <t>% Valor a tomar</t>
  </si>
  <si>
    <t>CALCULO DE UNIDADES CONSTRUCTIVAS</t>
  </si>
  <si>
    <t>COMPROBACIÓN DE INVERSIÓN</t>
  </si>
  <si>
    <t>Costo Total Inversión</t>
  </si>
  <si>
    <t>INSTALACIÓN</t>
  </si>
  <si>
    <t>PROYECTO  A DESARROLLAR</t>
  </si>
  <si>
    <t>CRONOGRAMA DEL PROYECTO</t>
  </si>
  <si>
    <t>CODIGO DEL MACRO PROYECTO</t>
  </si>
  <si>
    <t>AÑO 1</t>
  </si>
  <si>
    <t>AÑO 2</t>
  </si>
  <si>
    <t>AÑO 3</t>
  </si>
  <si>
    <t>AÑO 4</t>
  </si>
  <si>
    <t>DURACIÓN DEL MACRO PROYECTO</t>
  </si>
  <si>
    <t>INVERSIÓN TOTAL (PESOS)</t>
  </si>
  <si>
    <t>Tasa de pago gen (WACC)</t>
  </si>
  <si>
    <t>Naturaleza UC</t>
  </si>
  <si>
    <t>Nueva / Reposicion</t>
  </si>
  <si>
    <t>Total[$]</t>
  </si>
  <si>
    <t>Ingresos debido a Peajes [$]</t>
  </si>
  <si>
    <t>Inversión reconocida para calcular AOM Gastado [$]</t>
  </si>
  <si>
    <t>Duración del proyecto (Años)</t>
  </si>
  <si>
    <t>Relación B/C</t>
  </si>
  <si>
    <t>Años de inicio de beneficio peaje</t>
  </si>
  <si>
    <t>Fecha de Inicio (Año):</t>
  </si>
  <si>
    <t>Fecha de Cierre (Año):</t>
  </si>
  <si>
    <t>TOTAL INVERSIÓN (PRECIOS DIEMBRE DE 2011)</t>
  </si>
  <si>
    <t>ITEM DEL PROYECTO</t>
  </si>
  <si>
    <t>ACTIVIDADES</t>
  </si>
  <si>
    <t>Costo detallado de Unidades Constructivas tomado del documento CREG  D-071-08 Metodologia Distribucion 2008-2013</t>
  </si>
  <si>
    <t>ADQUISICIÓN DE EQUIPOS</t>
  </si>
  <si>
    <t>No.</t>
  </si>
  <si>
    <t>UC</t>
  </si>
  <si>
    <t>DESCRIPCIÓN</t>
  </si>
  <si>
    <t>DDP</t>
  </si>
  <si>
    <t>OBRA CIVIL</t>
  </si>
  <si>
    <t>MONTAJE</t>
  </si>
  <si>
    <t>ADMINISTRACIÓN EJECUCIÓN</t>
  </si>
  <si>
    <t>COSTOS FINANCIEROS</t>
  </si>
  <si>
    <t>DETALLE</t>
  </si>
  <si>
    <t>COSTOS E INVERSION</t>
  </si>
  <si>
    <t>Compra e instalacion de equipos</t>
  </si>
  <si>
    <t>Valor de Cuadrilla de Mto por evento</t>
  </si>
  <si>
    <t>Inversión reconocida para calcular AOM Gastado</t>
  </si>
  <si>
    <t>INVERSION Y GASTOS DE FUNCIONAMIENTO DEL PROYECTO</t>
  </si>
  <si>
    <t>Nota:</t>
  </si>
  <si>
    <t>Los gastos de funcionamiento se considera incluidos en el AOM</t>
  </si>
  <si>
    <t>Unidad Constructiva</t>
  </si>
  <si>
    <t>Detalle de costos de la unidad constructiva</t>
  </si>
  <si>
    <t>Inversion por año</t>
  </si>
  <si>
    <t>VALOR RECONOCIDO UC</t>
  </si>
  <si>
    <t>Distribucion</t>
  </si>
  <si>
    <t>Transmision</t>
  </si>
  <si>
    <t>Año de inicio reconocimiento peaje</t>
  </si>
  <si>
    <t>Año sig</t>
  </si>
  <si>
    <t>Cada 5 años (2013)</t>
  </si>
  <si>
    <t>Reconocimiento</t>
  </si>
  <si>
    <t>Año actual</t>
  </si>
  <si>
    <t>Años cierre para peajes</t>
  </si>
  <si>
    <t>Sistema de distribución - Redes norte del Cauca</t>
  </si>
  <si>
    <t>IPP (Dic-2007) - DANE</t>
  </si>
  <si>
    <t>Costo unitario de prestación de servicio (Cu)</t>
  </si>
  <si>
    <t>Costo de Racionamiento</t>
  </si>
  <si>
    <t>Japio</t>
  </si>
  <si>
    <t>Corinto</t>
  </si>
  <si>
    <t>Miranda</t>
  </si>
  <si>
    <t>Tacueyo</t>
  </si>
  <si>
    <t>ACEGRASAS S.A. (CALOTO)</t>
  </si>
  <si>
    <t>ALAMBRES Y CABLES TECNICOS S.A. - ALCATEK S.A.</t>
  </si>
  <si>
    <t>ALCAUCA S.A</t>
  </si>
  <si>
    <t>ALPINA S.A. (CAUCA)</t>
  </si>
  <si>
    <t>COMPAÑIA INTERNACIONAL DE ALIMENTOS</t>
  </si>
  <si>
    <t>COLBESA S.A</t>
  </si>
  <si>
    <t>FORSA</t>
  </si>
  <si>
    <t>FRIGOSUR</t>
  </si>
  <si>
    <t>FRIOMIX-CALOTO</t>
  </si>
  <si>
    <t>GILPA IMPRESORES S.A.</t>
  </si>
  <si>
    <t>INDUSTRIA CENTRAL NACIONAL S.A.</t>
  </si>
  <si>
    <t>ALIMENTOS DEL VALLE S.A.</t>
  </si>
  <si>
    <t>ALIMENTAR S.A.</t>
  </si>
  <si>
    <t>PLASTICOS DIENES</t>
  </si>
  <si>
    <t>PERFILES COLOMBIANOS PERFICOL S.A.</t>
  </si>
  <si>
    <t>PETAR</t>
  </si>
  <si>
    <t>PROCESADORA Y DISTRIBUIDORA DE PAPELES S.A. - PRODISPEL S.A.</t>
  </si>
  <si>
    <t>PTAR - COLBESA</t>
  </si>
  <si>
    <t>TAMBORES DE COLOMBIA S.A.</t>
  </si>
  <si>
    <t>ACUAPAEZ S.A. E.S.P</t>
  </si>
  <si>
    <t>FAMILIA DEL PACIFICO LTDA</t>
  </si>
  <si>
    <t>INVERSIONES AGA</t>
  </si>
  <si>
    <t>METALSUR S.A.</t>
  </si>
  <si>
    <t>PRODUCTOS SANITARIOS SANCELA S.A - CAUCA</t>
  </si>
  <si>
    <t>PAVCO DE OCCIDENTE LTDA</t>
  </si>
  <si>
    <t>PERFILAMOS DEL CAUCA</t>
  </si>
  <si>
    <t>PERFILAMOS</t>
  </si>
  <si>
    <t>POLYLON S.A.</t>
  </si>
  <si>
    <t>PRODISA S.A.</t>
  </si>
  <si>
    <t>PROPULSORA</t>
  </si>
  <si>
    <t>COENPLAS DE OCCIDENTE</t>
  </si>
  <si>
    <t>COLOMBINA S.A. PLANTA BOGOTA</t>
  </si>
  <si>
    <t>DESINFECTANTES PATOJITO S. A.</t>
  </si>
  <si>
    <t>DRYPERS ANDINA Y CIA S.C.A.</t>
  </si>
  <si>
    <t>INDUSTRIA ANDINA DE ABSORBENTES</t>
  </si>
  <si>
    <t>METECNO DE COLOMBIA S.A.  -   METCOL</t>
  </si>
  <si>
    <t>COMPACAUCA S.A. (PETAP ACUEDUCTO)</t>
  </si>
  <si>
    <t>COMPACAUCA S.A. - PETAR</t>
  </si>
  <si>
    <t>PROINDUSTRIAS CAUCA S.A.</t>
  </si>
  <si>
    <t>RAISIO QUIMICA ANDINA S.A.</t>
  </si>
  <si>
    <t>SOLUCIONES INTEGRALES EN MADERA SIMAD E.U.</t>
  </si>
  <si>
    <t>TUBOPACK DE COLOMBIA S.A.</t>
  </si>
  <si>
    <t>VINOS DE LA CORTE</t>
  </si>
  <si>
    <t>Paraiso</t>
  </si>
  <si>
    <t>CARTONERA NACIONAL S.A.</t>
  </si>
  <si>
    <t>COMPANIA NACIONAL DE ALIMENTOS LTDA. (CONAL)</t>
  </si>
  <si>
    <t>LADRILLERA SANTA LUCIA</t>
  </si>
  <si>
    <t>LADRILLERA LA SULTANA - SEDE VILLARICA</t>
  </si>
  <si>
    <t>MAC DEL PACIFICO</t>
  </si>
  <si>
    <t>TECNOFAR TQ SA</t>
  </si>
  <si>
    <t>TECNOSUR S.A.</t>
  </si>
  <si>
    <t>VALLEGRES TEJAS Y LADRILLOS S.A.</t>
  </si>
  <si>
    <t>Parque Sur</t>
  </si>
  <si>
    <t>CARGA</t>
  </si>
  <si>
    <t>CONVERTIDORA DE PAPEL DEL CAUCA S.A.</t>
  </si>
  <si>
    <t>LADRILL. MELENDEZ</t>
  </si>
  <si>
    <t>QUIMICA BASICA COLOMBIANA S.A II</t>
  </si>
  <si>
    <t>QUIMICOS DEL CAUCA S.A.S</t>
  </si>
  <si>
    <t>Santander - Corinto</t>
  </si>
  <si>
    <t>AGROPECUARIA LATINOAMERICANA</t>
  </si>
  <si>
    <t>CARVAJAL S.A. - TECAR S.A.</t>
  </si>
  <si>
    <t>GENFAR S.A.</t>
  </si>
  <si>
    <t>INDUSTRIA DE FIJADORES S.A</t>
  </si>
  <si>
    <t>INDUSTRIA PRODUCTORA DE ALIMENTOS (IPAC S.A.)</t>
  </si>
  <si>
    <t>LOS ANDES GOLF CLUB</t>
  </si>
  <si>
    <t>Santander - Puerto Tejada</t>
  </si>
  <si>
    <t>Cabaña - Corinto 2</t>
  </si>
  <si>
    <t>Cabaña - Puerto Tejada 1</t>
  </si>
  <si>
    <t>Cabaña - Puerto Tejada 2</t>
  </si>
  <si>
    <t>Santander - Paraiso</t>
  </si>
  <si>
    <t>ZONA</t>
  </si>
  <si>
    <t>CARGA INSTALADA (kVA)</t>
  </si>
  <si>
    <t>Etapa 1</t>
  </si>
  <si>
    <t>Etapa 2</t>
  </si>
  <si>
    <t>Etapa 3</t>
  </si>
  <si>
    <t>Etapa 4</t>
  </si>
  <si>
    <t>UBICACIÓN</t>
  </si>
  <si>
    <t>Administración etapa 3</t>
  </si>
  <si>
    <t>El tiempo</t>
  </si>
  <si>
    <t>Ptar 3</t>
  </si>
  <si>
    <t>Administración etapa 4</t>
  </si>
  <si>
    <t>Alumbrado externo</t>
  </si>
  <si>
    <t>Bodegas modulares</t>
  </si>
  <si>
    <t>Imagen</t>
  </si>
  <si>
    <t>Lucasa</t>
  </si>
  <si>
    <t>Mercahuevos</t>
  </si>
  <si>
    <t>Ptar 2</t>
  </si>
  <si>
    <t>Torre de comunicaciones</t>
  </si>
  <si>
    <t>Ptap</t>
  </si>
  <si>
    <t>Ptar</t>
  </si>
  <si>
    <t>Administración etapa 1</t>
  </si>
  <si>
    <t>Petar 1</t>
  </si>
  <si>
    <t>Administración etapa 2</t>
  </si>
  <si>
    <t>Torre Telefonos</t>
  </si>
  <si>
    <t>Frenos Yela</t>
  </si>
  <si>
    <t>Famic</t>
  </si>
  <si>
    <t>Aguas del paraiso</t>
  </si>
  <si>
    <t>Ptap en aguas del paraiso</t>
  </si>
  <si>
    <t>Frigorico</t>
  </si>
  <si>
    <t xml:space="preserve">Comcer </t>
  </si>
  <si>
    <t>Concesión</t>
  </si>
  <si>
    <t>Impsat</t>
  </si>
  <si>
    <t>La frontera</t>
  </si>
  <si>
    <t>Bomba de Gasolina</t>
  </si>
  <si>
    <t>Finca Paraiso</t>
  </si>
  <si>
    <t>Guhani</t>
  </si>
  <si>
    <t>Peaje</t>
  </si>
  <si>
    <t>Inagro</t>
  </si>
  <si>
    <t>Parque sur</t>
  </si>
  <si>
    <t>Global - Industria</t>
  </si>
  <si>
    <t>Forsa - torre ETB</t>
  </si>
  <si>
    <t xml:space="preserve">Tecnofar - carga futura </t>
  </si>
  <si>
    <t>Ingenios de occidente - carga futura</t>
  </si>
  <si>
    <t>TENSION</t>
  </si>
  <si>
    <t>34,5KV</t>
  </si>
  <si>
    <t>Circuito</t>
  </si>
  <si>
    <t>Balcanes</t>
  </si>
  <si>
    <t>Guachene</t>
  </si>
  <si>
    <t>Santo domingo</t>
  </si>
  <si>
    <t>Pto tejada</t>
  </si>
  <si>
    <t>Villarica</t>
  </si>
  <si>
    <t>SUBESTACIÓN</t>
  </si>
  <si>
    <t>CIRCUITO</t>
  </si>
  <si>
    <t>USUARIOS</t>
  </si>
  <si>
    <t>CODIGO</t>
  </si>
  <si>
    <t>POTENCIA DE DEMANDA (KW)</t>
  </si>
  <si>
    <t>Caloto</t>
  </si>
  <si>
    <t>Campiña</t>
  </si>
  <si>
    <t>Sulfoquimica</t>
  </si>
  <si>
    <t>La Luz</t>
  </si>
  <si>
    <t>Toribio</t>
  </si>
  <si>
    <t>Ingenios</t>
  </si>
  <si>
    <t>Ortigal</t>
  </si>
  <si>
    <t>Padilla</t>
  </si>
  <si>
    <t>codigo</t>
  </si>
  <si>
    <t>nombre</t>
  </si>
  <si>
    <t>subestacion</t>
  </si>
  <si>
    <t>tension</t>
  </si>
  <si>
    <t>grupo</t>
  </si>
  <si>
    <t>fes_mm</t>
  </si>
  <si>
    <t>des_mm</t>
  </si>
  <si>
    <t>fes_fm</t>
  </si>
  <si>
    <t>des_fm</t>
  </si>
  <si>
    <t>fes_oe</t>
  </si>
  <si>
    <t>des_oe</t>
  </si>
  <si>
    <t>fes_p</t>
  </si>
  <si>
    <t>des_p</t>
  </si>
  <si>
    <t>fes_np</t>
  </si>
  <si>
    <t>des_np</t>
  </si>
  <si>
    <t>FES</t>
  </si>
  <si>
    <t>DES</t>
  </si>
  <si>
    <t>trimestre</t>
  </si>
  <si>
    <t>año</t>
  </si>
  <si>
    <t>VMA_FES</t>
  </si>
  <si>
    <t>VMA_DES</t>
  </si>
  <si>
    <t>periodo</t>
  </si>
  <si>
    <t>CORINTO/MIRANDA</t>
  </si>
  <si>
    <t>N</t>
  </si>
  <si>
    <t xml:space="preserve">CORINTO       </t>
  </si>
  <si>
    <t>TRIMESTRE 1</t>
  </si>
  <si>
    <t>TRIMESTRE 2</t>
  </si>
  <si>
    <t>TRIMESTRE 3</t>
  </si>
  <si>
    <t>TRIMESTRE 4</t>
  </si>
  <si>
    <t>EPSA_ASNAZU</t>
  </si>
  <si>
    <t xml:space="preserve">SUAREZ        </t>
  </si>
  <si>
    <t>LA CABANA/CAMPO 3</t>
  </si>
  <si>
    <t xml:space="preserve">CABANA        </t>
  </si>
  <si>
    <t>LA CABANA/CORINTO 1</t>
  </si>
  <si>
    <t xml:space="preserve"> </t>
  </si>
  <si>
    <t>LA CABANA/P. TEJADA 1</t>
  </si>
  <si>
    <t>LA CABANA/P. TEJADA 2</t>
  </si>
  <si>
    <t>LLEGADA CORINTO</t>
  </si>
  <si>
    <t xml:space="preserve">TACUEYO       </t>
  </si>
  <si>
    <t>P. TEJADA/SANTANDER</t>
  </si>
  <si>
    <t xml:space="preserve">SANTANDER     </t>
  </si>
  <si>
    <t>PESCADOR/CALDONO</t>
  </si>
  <si>
    <t xml:space="preserve">PESCADOR      </t>
  </si>
  <si>
    <t>PROENCA</t>
  </si>
  <si>
    <t>SANTANDER/CORINTO</t>
  </si>
  <si>
    <t>SANTANDER/PARAISO</t>
  </si>
  <si>
    <t>SANTANDER/PESCADOR</t>
  </si>
  <si>
    <t xml:space="preserve">META 2011 </t>
  </si>
  <si>
    <t xml:space="preserve">REDUCCIÓN TOTAL ORDENADA </t>
  </si>
  <si>
    <t>DE MAYOR A MENOR</t>
  </si>
  <si>
    <t>Circuitos 13.2 kV</t>
  </si>
  <si>
    <t>SAIFI 2009</t>
  </si>
  <si>
    <t>SAIFI 2010</t>
  </si>
  <si>
    <t>TOTAL AÑO</t>
  </si>
  <si>
    <t>FRECUENCIA 2009 [N veces]</t>
  </si>
  <si>
    <t>FRECUENCIA 2010 [N veces]</t>
  </si>
  <si>
    <t>FRECUENCIA 2011 [N veces]</t>
  </si>
  <si>
    <t>AÑO 2009 [N]</t>
  </si>
  <si>
    <t>AÑO 2010 [N]</t>
  </si>
  <si>
    <t>AÑO 2011 [N]</t>
  </si>
  <si>
    <t>AÑO [h]</t>
  </si>
  <si>
    <t>Codigo</t>
  </si>
  <si>
    <t>Grupo</t>
  </si>
  <si>
    <t>Enero</t>
  </si>
  <si>
    <t>Febrero</t>
  </si>
  <si>
    <t>Marzo</t>
  </si>
  <si>
    <t>Abril</t>
  </si>
  <si>
    <t>Mayo</t>
  </si>
  <si>
    <t>Junio</t>
  </si>
  <si>
    <t>Julio</t>
  </si>
  <si>
    <t>Agosto</t>
  </si>
  <si>
    <t>Septiembre</t>
  </si>
  <si>
    <t>Octubre</t>
  </si>
  <si>
    <t>Noviembre</t>
  </si>
  <si>
    <t>Diciembre</t>
  </si>
  <si>
    <t>Ene</t>
  </si>
  <si>
    <t>Feb</t>
  </si>
  <si>
    <t>Mar</t>
  </si>
  <si>
    <t>U x Cto</t>
  </si>
  <si>
    <t>Trim 1</t>
  </si>
  <si>
    <t>Trim 2</t>
  </si>
  <si>
    <t>Trim 3</t>
  </si>
  <si>
    <t>Trim 4</t>
  </si>
  <si>
    <t>Promedio</t>
  </si>
  <si>
    <t>Guachené</t>
  </si>
  <si>
    <t>Corinto Rural</t>
  </si>
  <si>
    <t>Pto Tejada 2</t>
  </si>
  <si>
    <t>Miranda Rural</t>
  </si>
  <si>
    <t>Pto Tejada 1</t>
  </si>
  <si>
    <t>Toribío</t>
  </si>
  <si>
    <t>Miranda Urbano</t>
  </si>
  <si>
    <t>Corinto Urbano</t>
  </si>
  <si>
    <t>Pto Tejada 3</t>
  </si>
  <si>
    <t>Santo Domingo</t>
  </si>
  <si>
    <t>Pto Tejada 4</t>
  </si>
  <si>
    <t>La Campiña</t>
  </si>
  <si>
    <t>Sulfuquímica</t>
  </si>
  <si>
    <t>AÑO 2009 [h]</t>
  </si>
  <si>
    <t>AÑO 2010 [h]</t>
  </si>
  <si>
    <t>AÑO 2011 [h]</t>
  </si>
  <si>
    <t>SAIDI 2009</t>
  </si>
  <si>
    <t>SAIDI 2010</t>
  </si>
  <si>
    <t>DURACION 2009 [h]</t>
  </si>
  <si>
    <t>DURACION 2010 [h]</t>
  </si>
  <si>
    <t>DURACION 2011 [h]</t>
  </si>
  <si>
    <t>COD CIRCUITO</t>
  </si>
  <si>
    <t>P. TEJADA - SANTANDER</t>
  </si>
  <si>
    <t>SANTANDER - CORINTO</t>
  </si>
  <si>
    <t>SANTANDER - PARAISO</t>
  </si>
  <si>
    <t>LA CABAÑA - CAMPO 3</t>
  </si>
  <si>
    <t>LA CABAÑA - P. TEJADA 2</t>
  </si>
  <si>
    <t>FRENCUENCIA (N) / AÑO</t>
  </si>
  <si>
    <t>TIEMPO (h) / AÑO</t>
  </si>
  <si>
    <t>LA CABAÑA - CORINTO 1</t>
  </si>
  <si>
    <t>LA CABAÑA - P. TEJADA 1</t>
  </si>
  <si>
    <t>CORINTO - MIRANDA</t>
  </si>
  <si>
    <t>13,2KV</t>
  </si>
  <si>
    <t>ENERGIA PROMEDIO AÑO (KWh)</t>
  </si>
  <si>
    <t>AÑO 1 - KWh</t>
  </si>
  <si>
    <t>AÑO 2 - KWh</t>
  </si>
  <si>
    <t>AÑO 3 - KWh</t>
  </si>
  <si>
    <t>AÑO 4 - KWh</t>
  </si>
  <si>
    <t>AÑO 5 - KWh</t>
  </si>
  <si>
    <t>DATOS DEL SISTEMA</t>
  </si>
  <si>
    <t>ESTADO ACTUAL</t>
  </si>
  <si>
    <t xml:space="preserve"> - Demanda</t>
  </si>
  <si>
    <t xml:space="preserve"> - Indicadores de calidad de servicio</t>
  </si>
  <si>
    <t>Mayores Ventas en Contingencia [kWh] (DES)</t>
  </si>
  <si>
    <t>REDUCCION DE INDICES</t>
  </si>
  <si>
    <t>FRECUENCIA</t>
  </si>
  <si>
    <t>NUEVOS INDICES</t>
  </si>
  <si>
    <t>km red rural - Circuito sencillo - Poste Concreto - Conductor DT - 2</t>
  </si>
  <si>
    <t>Inversión adicional</t>
  </si>
  <si>
    <t>INVERSIONES ADICIONALES</t>
  </si>
  <si>
    <t>TOTAL INVERSIONES ADICIONALES</t>
  </si>
  <si>
    <t>Cantidad (Unidades / km / MVA / kVAR)</t>
  </si>
  <si>
    <t>Valor Unitario</t>
  </si>
  <si>
    <t>Nuevas Líneas y Tramos 34,5kV</t>
  </si>
  <si>
    <t>Repotenciación de Lineas</t>
  </si>
  <si>
    <t>Instalación de reconectadores en circuitos de 34,5kV</t>
  </si>
  <si>
    <t>Equipos y bahias nuevas en subestaciones existentes</t>
  </si>
  <si>
    <t>Contruccion de barraje 34,5kV de la subestación</t>
  </si>
  <si>
    <t>Contruccion de obras comunes, malla a tierra y serv. aux. de la subestación</t>
  </si>
  <si>
    <t>1.1</t>
  </si>
  <si>
    <t>1.2</t>
  </si>
  <si>
    <t>1.3</t>
  </si>
  <si>
    <t>2.1</t>
  </si>
  <si>
    <t>3.1</t>
  </si>
  <si>
    <t>3.2</t>
  </si>
  <si>
    <t>3.3</t>
  </si>
  <si>
    <t>4.1</t>
  </si>
  <si>
    <t>5.1</t>
  </si>
  <si>
    <t>Construcción Línea de S/E Nueva a Campo 3, calibre 4/0, longitud 1 Km</t>
  </si>
  <si>
    <t>Construcción Línea de S/E Nueva a Campo 2, calibre 4/0, longitud 1 Km</t>
  </si>
  <si>
    <t>Construcción Tramo de línea de S/E Nueva a Pto tejada, calibre 4/0, longitud 1 Km</t>
  </si>
  <si>
    <t>Construcción Tramo de línea de S/E Nueva a Paraiso, calibre 4/0, longitud 3 Km</t>
  </si>
  <si>
    <t>Construcción Tramo de línea de Cabaña-Corinto2, calibre 4/0, longitud 0,5 Km</t>
  </si>
  <si>
    <t>Instalación de reconectadores en circuitos de 34,5kV red zona norte</t>
  </si>
  <si>
    <t>Cu Tarifaria</t>
  </si>
  <si>
    <t>Costo compra (Gm)</t>
  </si>
  <si>
    <t>Uso del STN (Tm)</t>
  </si>
  <si>
    <t>Costo distribución (Dn)</t>
  </si>
  <si>
    <t>Costo comercialización (Cv)</t>
  </si>
  <si>
    <t>Costo adicionales del mdo mayor (Rm)</t>
  </si>
  <si>
    <t>Perdidas (PR)</t>
  </si>
  <si>
    <t>CARGA INSTALADA EN EL CTO (KW)</t>
  </si>
  <si>
    <t>NIVEL DE TENSION</t>
  </si>
  <si>
    <t>PERDIDAS (kW)</t>
  </si>
  <si>
    <t>CORRIENTE MAXIMA (A)</t>
  </si>
  <si>
    <t>POTENCIA MAXIMA (kW)</t>
  </si>
  <si>
    <t>POTENCIA MAXIMA (kVar)</t>
  </si>
  <si>
    <t>POTENCIA MAXIMA (kVA)</t>
  </si>
  <si>
    <t>CARGAS QUE ALIMENTA</t>
  </si>
  <si>
    <t>S/E Corinto y S/E Miranda</t>
  </si>
  <si>
    <t>Etapa 3 y 4</t>
  </si>
  <si>
    <t>Etapa 1 y 2</t>
  </si>
  <si>
    <t>Parque sur, S/E Puerto Tejada, Agropecuaria Latinoamericana</t>
  </si>
  <si>
    <t>Parque Paraiso</t>
  </si>
  <si>
    <t>S/E Japio, S/E Tacueyo, San Nicolas y no alimenta S/E Corinto</t>
  </si>
  <si>
    <t>Carvajal, Los Andes, Genfar entre otras</t>
  </si>
  <si>
    <t>PERDIDAS %</t>
  </si>
  <si>
    <t>RANGO DE PERDIDAS</t>
  </si>
  <si>
    <t>DETALLES DE CIRCUITO</t>
  </si>
  <si>
    <t>ESTADO ACTUAL DEL SISTEMA</t>
  </si>
  <si>
    <t>ENERGIA PROMEDIO (kW)</t>
  </si>
  <si>
    <t>ENERGIA MAXIMA (kW)</t>
  </si>
  <si>
    <t>CÁLCULO BENEFICIOS POR PEAJE Y AOM</t>
  </si>
  <si>
    <t>CÁLCULO BENEFICIOS REDUCCION DE PERDIDAS TECNICAS</t>
  </si>
  <si>
    <t>COMPORTAMIENTO CON EJECUCION DEL PROYECTO</t>
  </si>
  <si>
    <t xml:space="preserve">CRECIMIENTO DE ACUERDO AL CRECIMIENTO DE LA DEMANDA </t>
  </si>
  <si>
    <t>Cabaña-Corinto1</t>
  </si>
  <si>
    <t>Cabaña-Corinto2</t>
  </si>
  <si>
    <t>Campo 3</t>
  </si>
  <si>
    <t xml:space="preserve">Etapa 3 </t>
  </si>
  <si>
    <t>Campo 2</t>
  </si>
  <si>
    <t xml:space="preserve">Campo 1 </t>
  </si>
  <si>
    <t>Santander-Paraiso</t>
  </si>
  <si>
    <t>Santander-parque sur</t>
  </si>
  <si>
    <t>SISTEMA ACTUAL</t>
  </si>
  <si>
    <t>SISTEMA CON LA EJECUCION DEL PROYECTO</t>
  </si>
  <si>
    <t>Ahorro en perdidas tecnicas [kWh]</t>
  </si>
  <si>
    <t>PERDIDAS (kW) - AÑO 1</t>
  </si>
  <si>
    <t>PERDIDAS (kW) - AÑO 2</t>
  </si>
  <si>
    <t>PERDIDAS (kW) - AÑO 3</t>
  </si>
  <si>
    <t>PERDIDAS (kW) - AÑO 4</t>
  </si>
  <si>
    <t>PERDIDAS (kW) - AÑO 5</t>
  </si>
  <si>
    <t>Potencia demandada racionada KW</t>
  </si>
  <si>
    <t>DATOS DE SIMULACIÓN</t>
  </si>
  <si>
    <t>Limites inferiores de voltajes violados</t>
  </si>
  <si>
    <t>Elementos sobrecargados</t>
  </si>
  <si>
    <t xml:space="preserve">Miranda rural </t>
  </si>
  <si>
    <t>La regulación en Tacueyo es de 94.49%, en Corinto es de 93.77% y en Miranda es de 90.27%</t>
  </si>
  <si>
    <t>No hay elementos sobrecargados</t>
  </si>
  <si>
    <t>DEMANDA ATENDIDA EN CONTIGENCIA CON LA EJECUCION DEL PROYECTO</t>
  </si>
  <si>
    <t>DEMANDA ACTUAL NO SUMINISTRADA EN CONTIGENCIA</t>
  </si>
  <si>
    <t>DEMANDA NO SUMINISTRADA EN CONTIGENCIA CON PROYECTO</t>
  </si>
  <si>
    <t>CIRCUITOS RACIONADOS</t>
  </si>
  <si>
    <t>SUBESTACION</t>
  </si>
  <si>
    <t>CÁLCULO BENEFICIOS POR MEJORA EN CALIDAD DE SERVICIO</t>
  </si>
  <si>
    <t>DEMANDA ATENDIDA AL EJECUTAR PROYECTO (KW)</t>
  </si>
  <si>
    <t>Demanda no racionada ante crecimiento</t>
  </si>
  <si>
    <t>Demanda atendida en contingencia</t>
  </si>
  <si>
    <t>Mayores Ventas por Demanda no Racionada ante Crecimiento [kWh]</t>
  </si>
  <si>
    <t>Banco de condensadores para lograr 0.9MVAR instalados en postes de los circuitos 13,2kV de S/E Miranda</t>
  </si>
  <si>
    <t>Banco de condensadores para lograr 1.15MVAR instalados en postes de los circuitos 13,2kV de S/E Corinto</t>
  </si>
  <si>
    <t>Juegos de cortacircuitos monofasicos para bancos instalados en postes (Miranda)</t>
  </si>
  <si>
    <t>Juegos de cortacircuitos monofasicos para bancos instalados en postes (Corinto)</t>
  </si>
  <si>
    <t>FACTOR DE CARGA (FC)</t>
  </si>
  <si>
    <t>Factor de carga</t>
  </si>
  <si>
    <t>Factor de perdidas</t>
  </si>
  <si>
    <t>MEJORAMIENTO CONSIDERANDO FACTOR DE PERDIDAS (KW)</t>
  </si>
  <si>
    <t>MEJORAMIENTO EN DEMANDA MAXIMA (KW)</t>
  </si>
  <si>
    <t>Subestacion nueva 34,5kV (Punto de Reflexion)</t>
  </si>
  <si>
    <t>Construccion de 6 bahias de línea reducidas (reconectador) 34,5kV</t>
  </si>
  <si>
    <t>Construcción Tramo de línea de S/E Santander a Peaje, calibre 4/0, longitud 18 Km</t>
  </si>
  <si>
    <t>Construcción Línea entre S/E Santander y S/E Nueva, calibre 266,8, longitud 30 Km</t>
  </si>
  <si>
    <t>Construcción Línea entre S/E Cabaña y S/E Nueva, calibre 266,8, longitud 7 Km</t>
  </si>
  <si>
    <t>Construcción Línea Santander-Japio 4/0, calibre 266,8, longitud 8 Km</t>
  </si>
  <si>
    <t>Construcción Japio-Corinto 2/0, calibre 266,8, longitud 28 Km</t>
  </si>
  <si>
    <t>Construcción Línea Corinto-Miranda 2/0, calibre 4/0, longitud 16 Km</t>
  </si>
  <si>
    <t>Adquisicion y montaje de 1 celda de línea 34,5kV en S/E Santander</t>
  </si>
  <si>
    <t>2.2</t>
  </si>
  <si>
    <t>2.3</t>
  </si>
  <si>
    <t>2.4</t>
  </si>
  <si>
    <t>2.5</t>
  </si>
  <si>
    <t>2.6</t>
  </si>
  <si>
    <t>2.7</t>
  </si>
  <si>
    <t>2.8</t>
  </si>
  <si>
    <t>5.2</t>
  </si>
  <si>
    <t>5.3</t>
  </si>
  <si>
    <t>5.4</t>
  </si>
  <si>
    <t>5.5</t>
  </si>
  <si>
    <t>S/E Puerto Tejada, Ladrilleras, Parque sur</t>
  </si>
  <si>
    <t>Cabaña-Nueva</t>
  </si>
  <si>
    <t>S/E Nueva</t>
  </si>
  <si>
    <t>Santander- Paraiso-Nueva</t>
  </si>
  <si>
    <t>Santander-Nueva</t>
  </si>
  <si>
    <t>Carvajal, Inagro, Genfar,Haciendas, Los Andes, A. Latinoamericana</t>
  </si>
  <si>
    <t>Santander-Corinto</t>
  </si>
  <si>
    <t>S/E Japio, S/E Tacueyo, San Nicolas, Copapel,Quimica basica, Quimicauca</t>
  </si>
  <si>
    <t>TOTAL DEMANDA MAXIMA RACIONADA (KW)</t>
  </si>
  <si>
    <t>5.6</t>
  </si>
  <si>
    <t>No presenta problemas de  regulación</t>
  </si>
  <si>
    <t>RACIONAMIENTO POR DAÑO EN EL TRANSFORMADOR DE 60 MVA</t>
  </si>
  <si>
    <t>Duracion de la falla</t>
  </si>
  <si>
    <t>horas</t>
  </si>
  <si>
    <t>Demanda no atendida</t>
  </si>
  <si>
    <t>kW</t>
  </si>
  <si>
    <t xml:space="preserve">Energia no suminstrada </t>
  </si>
  <si>
    <t>kWh-año</t>
  </si>
  <si>
    <t>Racionamiento por indisponibilidad del transformador</t>
  </si>
  <si>
    <t>Adquisición y montaje de un transformador de 60 MVA 115/34,5kV para reemplazar el de 40MVA en subestacion Santander</t>
  </si>
  <si>
    <t>5.7</t>
  </si>
  <si>
    <t>Montaje del transformador de 40 MVA 115/34,5kV de subestacion Santander en Subestacion Cabaña para reemplazar el de 15MVA 115/34,5kV</t>
  </si>
  <si>
    <t>d</t>
  </si>
  <si>
    <t>5.8</t>
  </si>
  <si>
    <t>Adquisicion y montaje de 1 bahía de línea convecional 34,5kV en S/E Cabaña</t>
  </si>
  <si>
    <t>IPP (OCT-2012) - DANE</t>
  </si>
  <si>
    <t>COP</t>
  </si>
  <si>
    <t>TOTAL INVERSIÓN (PRECIOS OCTUBRE DE 2012)</t>
  </si>
  <si>
    <t>TOTAL  (2012)</t>
  </si>
  <si>
    <t>TOTAL (2007)</t>
  </si>
  <si>
    <t>DIFERENCIA CON ACTUAL</t>
  </si>
  <si>
    <t>TOTAL PROYECTADO</t>
  </si>
  <si>
    <t>DEMANDA TOTAL</t>
  </si>
  <si>
    <t>Mejorar la calidad del servicio en la zona del norte del cauca.</t>
  </si>
  <si>
    <t>Norte del cauca</t>
  </si>
  <si>
    <t>PROYECTO DE MEJORA DE LA CALIDAD DEL SERVICIO DE ENERGÍA ELÉCTRICA Y DE LOS ÍNDICES DE CONFIABILIDAD A LOS USUARIOS DEL NORTE DEL CAUCA A TRAVÉS DEL CAMBIO DE LA TOPOLOGÍA DE LA RED</t>
  </si>
  <si>
    <t>PROYECTO MEJORA DE CALIDAD DE SERVICIO</t>
  </si>
  <si>
    <t>GASTOS PREOPERATIVOS</t>
  </si>
  <si>
    <t>(Millones del año 1)</t>
  </si>
  <si>
    <t>Fase</t>
  </si>
  <si>
    <t>Inversión</t>
  </si>
  <si>
    <t>Operacional</t>
  </si>
  <si>
    <t>Consultoría técnica estudio estado redes norte.</t>
  </si>
  <si>
    <t>Costo de desarrollo de contratos de obra, servicios, suministros y compra de servidumbres o permisos de paso.</t>
  </si>
  <si>
    <t>Costos de licencias ambientales y estudios de plan de manejo ambiental.</t>
  </si>
  <si>
    <t>Costo de estudios de mercado y publicidad personalizada.</t>
  </si>
  <si>
    <t>Total gastos preoperativos</t>
  </si>
  <si>
    <t>Preinversion</t>
  </si>
  <si>
    <t>Estudios de consultoria para el desarrollo del proyecto (4 meses)</t>
  </si>
  <si>
    <t>TOTAL INVERSION</t>
  </si>
  <si>
    <t>Total de la inversion</t>
  </si>
  <si>
    <t>Costos de financiacion</t>
  </si>
  <si>
    <t xml:space="preserve">Fase </t>
  </si>
  <si>
    <t>Costos de financiación (Intereses)</t>
  </si>
  <si>
    <t>Pago a préstamo</t>
  </si>
  <si>
    <t>MONTO SOLICITADO</t>
  </si>
  <si>
    <t>NUMERO DE CUOTAS</t>
  </si>
  <si>
    <t>VALOR DE LA CUOTA</t>
  </si>
  <si>
    <t>TABLA DE AMORTIZACIÓN DEL CRÉDITO</t>
  </si>
  <si>
    <t>AÑOS</t>
  </si>
  <si>
    <t>CUOTA</t>
  </si>
  <si>
    <t>INTERESES</t>
  </si>
  <si>
    <t>AMORTIZACIÓN A CAPITAL</t>
  </si>
  <si>
    <t>SALDOS</t>
  </si>
  <si>
    <t>Año 6</t>
  </si>
  <si>
    <t>Año 7</t>
  </si>
  <si>
    <t>Año 8</t>
  </si>
  <si>
    <t>Año 9</t>
  </si>
  <si>
    <t>Año 10</t>
  </si>
  <si>
    <t>Año 11</t>
  </si>
  <si>
    <t>Año 12</t>
  </si>
  <si>
    <t>Año 13</t>
  </si>
  <si>
    <t>Año 14</t>
  </si>
  <si>
    <t>Año 15</t>
  </si>
  <si>
    <t>Año 16</t>
  </si>
  <si>
    <t>Año 17</t>
  </si>
  <si>
    <t>Año 18</t>
  </si>
  <si>
    <t>Año 19</t>
  </si>
  <si>
    <t>Año 20</t>
  </si>
  <si>
    <t>Año 21</t>
  </si>
  <si>
    <t>Año 22</t>
  </si>
  <si>
    <t>Año 23</t>
  </si>
  <si>
    <t>Año 24</t>
  </si>
  <si>
    <t>Año 25</t>
  </si>
  <si>
    <t>COSTOS Y BENEFICIOS (Millones de Pesos de OCT-12)</t>
  </si>
  <si>
    <t>Mayor flexibilidad, seguridad y confiabilidad del sistema</t>
  </si>
  <si>
    <t>Este proyecto considera la construcción de un barraje de Reflexión 34.5 KV ubicado entre Puerto tejada y Villarrica. Se instala un transformador nuevo de  60 MVA  en la subestación Santander, y el transformador de 40 MVA existente instalado en esta subestación Santander, se traslada  a la subestación Cabaña y se conecta en paralelo con el transformador existente de 60 MVA en esta misma subestación. La subestación Santander quedaría con el transformador nuevo de 60 MVA y la subestación Cabaña, quedaría con 2 transformadores, uno de 60 MVA y otro de 40 MVA. El transformador existente de 15 MVA en la subestación Cabaña se retira. Se considera utilizar celdas metalclad en la nueva subestación en el barraje de reflexión de 34.5 KV.</t>
  </si>
  <si>
    <t>No se tiene antecedente de que se hubiera intentado o planteado algún proyecto similar, la mayoría de los esfuerzos han sido aislados sin una visión y objetivos globales claros.</t>
  </si>
  <si>
    <t>No cumplir con las exigencias de calidad, que los estamentos regulatorios exigen y que los clientes requieren para el desarrollo de sus empresas y el desarrollo de la región.</t>
  </si>
  <si>
    <t>Pre inversión</t>
  </si>
  <si>
    <t>Costos de financiación</t>
  </si>
  <si>
    <t>Ahorro en perdidas técnicas</t>
  </si>
  <si>
    <t>INGENIERÍA</t>
  </si>
  <si>
    <t>INTERVENTORÍA</t>
  </si>
  <si>
    <t>INSPECCIÓN</t>
  </si>
  <si>
    <t>Subestación nueva 34,5kV (Punto de Reflexión)</t>
  </si>
  <si>
    <t>Repotenciación de Líneas</t>
  </si>
  <si>
    <t>Equipos y bahías nuevas en subestaciones existentes</t>
  </si>
  <si>
    <t>BANCO DE CONDENSADORES MONTAJE EN POSTE 300 KVAR</t>
  </si>
  <si>
    <t>RETIRO TRANSFORMADOR DE 15 MVA 115/34,5KV - SUBESTACIÓN CABAÑA</t>
  </si>
  <si>
    <t>TRASLADO TRANSFORMADOR DE 40 MVA 115/34,5KV DE SUBESTACIÓN SANTANDER A SUBESTACIÓN CABAÑA</t>
  </si>
  <si>
    <t>TOTAL INVERSIÓN PROYECTO</t>
  </si>
  <si>
    <t>COSTOS DE FINANCIACIÓN Y PAGO PRÉSTAMO</t>
  </si>
  <si>
    <t>MONTO INVERSIÓN DE ACCIONISTAS</t>
  </si>
  <si>
    <t>INTERÉS EFECTIVO ANUAL</t>
  </si>
  <si>
    <t>TOTAL INGRESOS</t>
  </si>
  <si>
    <t>Total</t>
  </si>
  <si>
    <t>Hoy + Proyecto ( 25 Años)</t>
  </si>
  <si>
    <t>Hoy Sin Proyecto (25 Años)</t>
  </si>
  <si>
    <t>Año Final</t>
  </si>
  <si>
    <t>DATOS INICIALES DEL PROYECTO</t>
  </si>
  <si>
    <t>ANALISIS FINANCIERO</t>
  </si>
  <si>
    <t>Flujo de Caja (Ingresos - Costos)</t>
  </si>
  <si>
    <t>INDICADORES ECONOMICOS SIN PROYECTO</t>
  </si>
  <si>
    <t>INDICADORES ECONOMICOS CON PROYECTO</t>
  </si>
  <si>
    <t>Costos por Peajes</t>
  </si>
  <si>
    <t>Analisis</t>
  </si>
  <si>
    <t>ENTRADAS</t>
  </si>
  <si>
    <t>SALIDAS</t>
  </si>
  <si>
    <t>COSTOS E INGRESOS (Millones de Pesos de FEB-13)</t>
  </si>
  <si>
    <t>1. Recursos financieros</t>
  </si>
  <si>
    <t>Total entradas efectivo</t>
  </si>
  <si>
    <t>Salidas de efectivo</t>
  </si>
  <si>
    <t>5. Impuestos</t>
  </si>
  <si>
    <t>6. Dividendos</t>
  </si>
  <si>
    <t>Total salidas efectivo</t>
  </si>
  <si>
    <t>Entradas menos salidas</t>
  </si>
  <si>
    <t>Saldo acumulado de efectivo</t>
  </si>
  <si>
    <t>Entradas de efectivo (Millones de Pesos de OCT-12)</t>
  </si>
  <si>
    <t>2. Aportes de los socios</t>
  </si>
  <si>
    <t>3. Mayor recaudo de tarifa debido al proyecto</t>
  </si>
  <si>
    <t>1. Pre inversión</t>
  </si>
  <si>
    <t>2. Inversión</t>
  </si>
  <si>
    <t>3. Costos de financiación</t>
  </si>
  <si>
    <t>4. AOM Gastado</t>
  </si>
  <si>
    <t>PARAMETROS PARA EVALUACION ECONOMICA DEL PROYECTO</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</si>
</sst>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6" formatCode="&quot;$&quot;\ #,##0_);[Red]\(&quot;$&quot;\ #,##0\)"/>
    <numFmt numFmtId="8" formatCode="&quot;$&quot;\ #,##0.00_);[Red]\(&quot;$&quot;\ #,##0.00\)"/>
    <numFmt numFmtId="41" formatCode="_(* #,##0_);_(* \(#,##0\);_(* &quot;-&quot;_);_(@_)"/>
    <numFmt numFmtId="44" formatCode="_(&quot;$&quot;\ * #,##0.00_);_(&quot;$&quot;\ * \(#,##0.00\);_(&quot;$&quot;\ * &quot;-&quot;??_);_(@_)"/>
    <numFmt numFmtId="43" formatCode="_(* #,##0.00_);_(* \(#,##0.00\);_(* &quot;-&quot;??_);_(@_)"/>
    <numFmt numFmtId="164" formatCode="&quot;$&quot;\ #,##0.00"/>
    <numFmt numFmtId="165" formatCode="_(* #,##0_);_(* \(#,##0\);_(* &quot;-&quot;??_);_(@_)"/>
    <numFmt numFmtId="166" formatCode="&quot;$&quot;\ #,##0"/>
    <numFmt numFmtId="167" formatCode="_([$$-240A]\ * #,##0_);_([$$-240A]\ * \(#,##0\);_([$$-240A]\ * &quot;-&quot;??_);_(@_)"/>
    <numFmt numFmtId="168" formatCode="_(&quot;$&quot;\ * #,##0_);_(&quot;$&quot;\ * \(#,##0\);_(&quot;$&quot;\ * &quot;-&quot;??_);_(@_)"/>
    <numFmt numFmtId="169" formatCode="0.0"/>
    <numFmt numFmtId="170" formatCode="0.0000"/>
    <numFmt numFmtId="171" formatCode="0.000"/>
    <numFmt numFmtId="172" formatCode="_(* #,##0.00_);_(* \(#,##0.00\);_(* &quot;-&quot;????_);_(@_)"/>
    <numFmt numFmtId="173" formatCode="_(* #,##0.0_);_(* \(#,##0.0\);_(* &quot;-&quot;??_);_(@_)"/>
    <numFmt numFmtId="174" formatCode="0.0%"/>
  </numFmts>
  <fonts count="52" x14ac:knownFonts="1">
    <font>
      <sz val="11"/>
      <color theme="1"/>
      <name val="Calibri"/>
      <family val="2"/>
      <scheme val="minor"/>
    </font>
    <font>
      <sz val="11"/>
      <color theme="1"/>
      <name val="Calibri"/>
      <family val="2"/>
      <scheme val="minor"/>
    </font>
    <font>
      <sz val="10"/>
      <color theme="1"/>
      <name val="Arial"/>
      <family val="2"/>
    </font>
    <font>
      <sz val="10"/>
      <color theme="0"/>
      <name val="Arial"/>
      <family val="2"/>
    </font>
    <font>
      <sz val="10"/>
      <name val="Arial"/>
      <family val="2"/>
    </font>
    <font>
      <b/>
      <sz val="10"/>
      <color theme="0"/>
      <name val="Arial"/>
      <family val="2"/>
    </font>
    <font>
      <b/>
      <sz val="10"/>
      <color theme="1"/>
      <name val="Arial"/>
      <family val="2"/>
    </font>
    <font>
      <b/>
      <sz val="10"/>
      <name val="Arial"/>
      <family val="2"/>
    </font>
    <font>
      <sz val="12"/>
      <color theme="1"/>
      <name val="Arial"/>
      <family val="2"/>
    </font>
    <font>
      <sz val="11"/>
      <color theme="0"/>
      <name val="Arial"/>
      <family val="2"/>
    </font>
    <font>
      <sz val="11"/>
      <color indexed="8"/>
      <name val="Calibri"/>
      <family val="2"/>
    </font>
    <font>
      <sz val="10"/>
      <name val="Courier"/>
      <family val="3"/>
    </font>
    <font>
      <sz val="11"/>
      <color theme="1"/>
      <name val="Arial"/>
      <family val="2"/>
    </font>
    <font>
      <b/>
      <sz val="11"/>
      <color theme="1"/>
      <name val="Arial"/>
      <family val="2"/>
    </font>
    <font>
      <sz val="11"/>
      <color theme="0"/>
      <name val="Calibri"/>
      <family val="2"/>
      <scheme val="minor"/>
    </font>
    <font>
      <b/>
      <sz val="10"/>
      <color rgb="FFFF0000"/>
      <name val="Arial"/>
      <family val="2"/>
    </font>
    <font>
      <sz val="10"/>
      <color theme="5" tint="-0.249977111117893"/>
      <name val="Arial"/>
      <family val="2"/>
    </font>
    <font>
      <b/>
      <sz val="10"/>
      <color theme="9" tint="-0.249977111117893"/>
      <name val="Arial"/>
      <family val="2"/>
    </font>
    <font>
      <b/>
      <sz val="10"/>
      <color theme="5" tint="-0.249977111117893"/>
      <name val="Arial"/>
      <family val="2"/>
    </font>
    <font>
      <sz val="11"/>
      <name val="Arial"/>
      <family val="2"/>
    </font>
    <font>
      <b/>
      <sz val="11"/>
      <color theme="0"/>
      <name val="Arial"/>
      <family val="2"/>
    </font>
    <font>
      <sz val="11"/>
      <color rgb="FFFF0000"/>
      <name val="Calibri"/>
      <family val="2"/>
      <scheme val="minor"/>
    </font>
    <font>
      <sz val="10"/>
      <color indexed="8"/>
      <name val="Arial"/>
      <family val="2"/>
    </font>
    <font>
      <sz val="11"/>
      <color indexed="8"/>
      <name val="Arial"/>
      <family val="2"/>
    </font>
    <font>
      <b/>
      <sz val="12"/>
      <color theme="1"/>
      <name val="Arial"/>
      <family val="2"/>
    </font>
    <font>
      <b/>
      <sz val="48"/>
      <color theme="0"/>
      <name val="Calibri"/>
      <family val="2"/>
      <scheme val="minor"/>
    </font>
    <font>
      <b/>
      <sz val="20"/>
      <color theme="0"/>
      <name val="Calibri"/>
      <family val="2"/>
      <scheme val="minor"/>
    </font>
    <font>
      <b/>
      <sz val="11"/>
      <color rgb="FFFF0000"/>
      <name val="Arial"/>
      <family val="2"/>
    </font>
    <font>
      <b/>
      <sz val="11"/>
      <name val="Arial"/>
      <family val="2"/>
    </font>
    <font>
      <b/>
      <sz val="11"/>
      <name val="Calibri"/>
      <family val="2"/>
      <scheme val="minor"/>
    </font>
    <font>
      <b/>
      <sz val="12"/>
      <name val="Arial"/>
      <family val="2"/>
    </font>
    <font>
      <sz val="10"/>
      <color theme="1"/>
      <name val="Calibri"/>
      <family val="2"/>
      <scheme val="minor"/>
    </font>
    <font>
      <b/>
      <sz val="18"/>
      <color theme="1"/>
      <name val="Calibri"/>
      <family val="2"/>
      <scheme val="minor"/>
    </font>
    <font>
      <sz val="18"/>
      <color theme="1"/>
      <name val="Calibri"/>
      <family val="2"/>
      <scheme val="minor"/>
    </font>
    <font>
      <b/>
      <sz val="10"/>
      <color theme="1"/>
      <name val="Calibri"/>
      <family val="2"/>
      <scheme val="minor"/>
    </font>
    <font>
      <sz val="12"/>
      <color theme="1"/>
      <name val="Calibri"/>
      <family val="2"/>
      <scheme val="minor"/>
    </font>
    <font>
      <b/>
      <u/>
      <sz val="18"/>
      <color theme="1"/>
      <name val="Calibri"/>
      <family val="2"/>
      <scheme val="minor"/>
    </font>
    <font>
      <u/>
      <sz val="10"/>
      <color theme="1"/>
      <name val="Calibri"/>
      <family val="2"/>
      <scheme val="minor"/>
    </font>
    <font>
      <sz val="14"/>
      <color theme="1"/>
      <name val="Calibri"/>
      <family val="2"/>
      <scheme val="minor"/>
    </font>
    <font>
      <b/>
      <sz val="14"/>
      <color theme="1"/>
      <name val="Calibri"/>
      <family val="2"/>
      <scheme val="minor"/>
    </font>
    <font>
      <b/>
      <i/>
      <sz val="10"/>
      <color theme="1"/>
      <name val="Arial"/>
      <family val="2"/>
    </font>
    <font>
      <sz val="12"/>
      <name val="Arial"/>
      <family val="2"/>
    </font>
    <font>
      <sz val="10"/>
      <color theme="1"/>
      <name val="Times New Roman"/>
      <family val="1"/>
    </font>
    <font>
      <sz val="11"/>
      <name val="Times New Roman"/>
      <family val="1"/>
    </font>
    <font>
      <b/>
      <sz val="11"/>
      <name val="Times New Roman"/>
      <family val="1"/>
    </font>
    <font>
      <sz val="10"/>
      <name val="Times New Roman"/>
      <family val="1"/>
    </font>
    <font>
      <b/>
      <sz val="10"/>
      <name val="Times New Roman"/>
      <family val="1"/>
    </font>
    <font>
      <b/>
      <sz val="10"/>
      <color theme="9" tint="-0.249977111117893"/>
      <name val="Times New Roman"/>
      <family val="1"/>
    </font>
    <font>
      <b/>
      <sz val="10"/>
      <color theme="5" tint="-0.249977111117893"/>
      <name val="Times New Roman"/>
      <family val="1"/>
    </font>
    <font>
      <sz val="10"/>
      <color rgb="FF000000"/>
      <name val="Times New Roman"/>
      <family val="1"/>
    </font>
    <font>
      <b/>
      <sz val="10"/>
      <color theme="1"/>
      <name val="Times New Roman"/>
      <family val="1"/>
    </font>
    <font>
      <sz val="12"/>
      <name val="Times New Roman"/>
      <family val="1"/>
    </font>
  </fonts>
  <fills count="42">
    <fill>
      <patternFill patternType="none"/>
    </fill>
    <fill>
      <patternFill patternType="gray125"/>
    </fill>
    <fill>
      <patternFill patternType="solid">
        <fgColor rgb="FF0070C0"/>
        <bgColor indexed="64"/>
      </patternFill>
    </fill>
    <fill>
      <patternFill patternType="solid">
        <fgColor theme="6" tint="0.39997558519241921"/>
        <bgColor indexed="64"/>
      </patternFill>
    </fill>
    <fill>
      <patternFill patternType="solid">
        <fgColor theme="4" tint="-0.249977111117893"/>
        <bgColor indexed="64"/>
      </patternFill>
    </fill>
    <fill>
      <patternFill patternType="solid">
        <fgColor rgb="FF00B050"/>
        <bgColor indexed="64"/>
      </patternFill>
    </fill>
    <fill>
      <patternFill patternType="solid">
        <fgColor theme="9" tint="-0.249977111117893"/>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9" tint="-0.499984740745262"/>
        <bgColor indexed="64"/>
      </patternFill>
    </fill>
    <fill>
      <patternFill patternType="solid">
        <fgColor theme="8" tint="-0.249977111117893"/>
        <bgColor indexed="64"/>
      </patternFill>
    </fill>
    <fill>
      <patternFill patternType="solid">
        <fgColor theme="0"/>
        <bgColor indexed="64"/>
      </patternFill>
    </fill>
    <fill>
      <patternFill patternType="solid">
        <fgColor theme="9" tint="0.79998168889431442"/>
        <bgColor indexed="64"/>
      </patternFill>
    </fill>
    <fill>
      <patternFill patternType="solid">
        <fgColor theme="3" tint="-0.249977111117893"/>
        <bgColor indexed="64"/>
      </patternFill>
    </fill>
    <fill>
      <patternFill patternType="solid">
        <fgColor theme="8" tint="0.79998168889431442"/>
        <bgColor indexed="64"/>
      </patternFill>
    </fill>
    <fill>
      <patternFill patternType="solid">
        <fgColor theme="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CC0000"/>
        <bgColor indexed="64"/>
      </patternFill>
    </fill>
    <fill>
      <patternFill patternType="solid">
        <fgColor rgb="FFFFFF66"/>
        <bgColor indexed="64"/>
      </patternFill>
    </fill>
    <fill>
      <patternFill patternType="solid">
        <fgColor rgb="FFFFFFCC"/>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2" tint="-0.749992370372631"/>
        <bgColor indexed="64"/>
      </patternFill>
    </fill>
    <fill>
      <patternFill patternType="solid">
        <fgColor theme="9" tint="0.39997558519241921"/>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5" tint="-0.249977111117893"/>
        <bgColor indexed="64"/>
      </patternFill>
    </fill>
    <fill>
      <patternFill patternType="solid">
        <fgColor rgb="FFFFFF99"/>
        <bgColor indexed="64"/>
      </patternFill>
    </fill>
    <fill>
      <patternFill patternType="solid">
        <fgColor theme="5" tint="0.59999389629810485"/>
        <bgColor indexed="64"/>
      </patternFill>
    </fill>
    <fill>
      <patternFill patternType="solid">
        <fgColor rgb="FFFFFF00"/>
        <bgColor indexed="64"/>
      </patternFill>
    </fill>
    <fill>
      <patternFill patternType="solid">
        <fgColor theme="5" tint="0.39997558519241921"/>
        <bgColor indexed="64"/>
      </patternFill>
    </fill>
    <fill>
      <patternFill patternType="solid">
        <fgColor rgb="FF92D050"/>
        <bgColor indexed="64"/>
      </patternFill>
    </fill>
    <fill>
      <patternFill patternType="solid">
        <fgColor theme="3" tint="0.39997558519241921"/>
        <bgColor indexed="64"/>
      </patternFill>
    </fill>
    <fill>
      <patternFill patternType="solid">
        <fgColor theme="4" tint="-0.499984740745262"/>
        <bgColor indexed="64"/>
      </patternFill>
    </fill>
    <fill>
      <patternFill patternType="solid">
        <fgColor rgb="FFC00000"/>
        <bgColor indexed="64"/>
      </patternFill>
    </fill>
    <fill>
      <patternFill patternType="solid">
        <fgColor theme="6" tint="0.59999389629810485"/>
        <bgColor indexed="64"/>
      </patternFill>
    </fill>
    <fill>
      <patternFill patternType="solid">
        <fgColor theme="3" tint="0.59999389629810485"/>
        <bgColor indexed="64"/>
      </patternFill>
    </fill>
  </fills>
  <borders count="17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2" tint="-0.749992370372631"/>
      </left>
      <right style="thin">
        <color theme="2" tint="-0.749992370372631"/>
      </right>
      <top style="thin">
        <color theme="2" tint="-0.749992370372631"/>
      </top>
      <bottom style="thin">
        <color theme="2" tint="-0.749992370372631"/>
      </bottom>
      <diagonal/>
    </border>
    <border>
      <left/>
      <right style="thin">
        <color theme="0" tint="-0.34998626667073579"/>
      </right>
      <top style="thin">
        <color theme="0" tint="-0.34998626667073579"/>
      </top>
      <bottom style="thin">
        <color theme="2" tint="-0.749992370372631"/>
      </bottom>
      <diagonal/>
    </border>
    <border>
      <left style="thin">
        <color theme="0" tint="-0.34998626667073579"/>
      </left>
      <right style="thin">
        <color theme="0" tint="-0.34998626667073579"/>
      </right>
      <top style="thin">
        <color theme="0" tint="-0.34998626667073579"/>
      </top>
      <bottom style="thin">
        <color theme="2" tint="-0.749992370372631"/>
      </bottom>
      <diagonal/>
    </border>
    <border>
      <left style="thin">
        <color theme="2" tint="-0.749992370372631"/>
      </left>
      <right/>
      <top/>
      <bottom/>
      <diagonal/>
    </border>
    <border>
      <left style="thin">
        <color theme="9" tint="-0.499984740745262"/>
      </left>
      <right style="thin">
        <color theme="9" tint="-0.499984740745262"/>
      </right>
      <top style="thin">
        <color theme="9" tint="-0.499984740745262"/>
      </top>
      <bottom style="thin">
        <color theme="9" tint="-0.499984740745262"/>
      </bottom>
      <diagonal/>
    </border>
    <border>
      <left style="thin">
        <color theme="9" tint="-0.499984740745262"/>
      </left>
      <right style="thin">
        <color theme="9" tint="-0.499984740745262"/>
      </right>
      <top/>
      <bottom style="thin">
        <color theme="9" tint="-0.499984740745262"/>
      </bottom>
      <diagonal/>
    </border>
    <border>
      <left/>
      <right/>
      <top style="thin">
        <color theme="2" tint="-0.749992370372631"/>
      </top>
      <bottom/>
      <diagonal/>
    </border>
    <border>
      <left/>
      <right style="thin">
        <color theme="2" tint="-0.749992370372631"/>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2" tint="-0.89999084444715716"/>
      </left>
      <right/>
      <top style="thin">
        <color theme="2" tint="-0.89999084444715716"/>
      </top>
      <bottom style="thin">
        <color theme="2" tint="-0.89999084444715716"/>
      </bottom>
      <diagonal/>
    </border>
    <border>
      <left/>
      <right/>
      <top style="thin">
        <color theme="2" tint="-0.89999084444715716"/>
      </top>
      <bottom style="thin">
        <color theme="2" tint="-0.89999084444715716"/>
      </bottom>
      <diagonal/>
    </border>
    <border>
      <left/>
      <right style="thin">
        <color theme="2" tint="-0.89999084444715716"/>
      </right>
      <top style="thin">
        <color theme="2" tint="-0.89999084444715716"/>
      </top>
      <bottom style="thin">
        <color theme="2" tint="-0.89999084444715716"/>
      </bottom>
      <diagonal/>
    </border>
    <border>
      <left style="thin">
        <color theme="1" tint="0.34998626667073579"/>
      </left>
      <right style="thin">
        <color theme="1" tint="0.34998626667073579"/>
      </right>
      <top/>
      <bottom style="thin">
        <color theme="1" tint="0.34998626667073579"/>
      </bottom>
      <diagonal/>
    </border>
    <border>
      <left style="thin">
        <color theme="2" tint="-0.749992370372631"/>
      </left>
      <right style="thin">
        <color indexed="64"/>
      </right>
      <top style="thin">
        <color theme="2" tint="-0.89999084444715716"/>
      </top>
      <bottom/>
      <diagonal/>
    </border>
    <border>
      <left style="thin">
        <color theme="2" tint="-0.749992370372631"/>
      </left>
      <right style="thin">
        <color theme="2" tint="-0.749992370372631"/>
      </right>
      <top style="thin">
        <color theme="2" tint="-0.89999084444715716"/>
      </top>
      <bottom style="thin">
        <color theme="2" tint="-0.749992370372631"/>
      </bottom>
      <diagonal/>
    </border>
    <border>
      <left style="thin">
        <color theme="2" tint="-0.749992370372631"/>
      </left>
      <right style="thin">
        <color theme="2" tint="-0.749992370372631"/>
      </right>
      <top style="thin">
        <color theme="2" tint="-0.749992370372631"/>
      </top>
      <bottom style="thin">
        <color theme="2" tint="-0.89999084444715716"/>
      </bottom>
      <diagonal/>
    </border>
    <border>
      <left style="thin">
        <color theme="1" tint="0.34998626667073579"/>
      </left>
      <right/>
      <top style="thin">
        <color theme="2" tint="-0.89999084444715716"/>
      </top>
      <bottom style="thin">
        <color theme="9" tint="-0.499984740745262"/>
      </bottom>
      <diagonal/>
    </border>
    <border>
      <left/>
      <right style="thin">
        <color theme="1" tint="0.34998626667073579"/>
      </right>
      <top style="thin">
        <color theme="2" tint="-0.89999084444715716"/>
      </top>
      <bottom style="thin">
        <color theme="9" tint="-0.499984740745262"/>
      </bottom>
      <diagonal/>
    </border>
    <border>
      <left style="thin">
        <color theme="3" tint="-0.499984740745262"/>
      </left>
      <right style="thin">
        <color theme="3" tint="-0.499984740745262"/>
      </right>
      <top style="thin">
        <color theme="3" tint="-0.499984740745262"/>
      </top>
      <bottom style="thin">
        <color theme="3" tint="-0.499984740745262"/>
      </bottom>
      <diagonal/>
    </border>
    <border>
      <left style="thin">
        <color theme="3" tint="-0.499984740745262"/>
      </left>
      <right style="thin">
        <color theme="3" tint="-0.499984740745262"/>
      </right>
      <top style="thin">
        <color theme="3" tint="-0.499984740745262"/>
      </top>
      <bottom/>
      <diagonal/>
    </border>
    <border>
      <left style="thin">
        <color theme="3" tint="-0.499984740745262"/>
      </left>
      <right/>
      <top/>
      <bottom/>
      <diagonal/>
    </border>
    <border>
      <left style="thin">
        <color theme="3" tint="-0.499984740745262"/>
      </left>
      <right style="thin">
        <color theme="0" tint="-0.34998626667073579"/>
      </right>
      <top style="thin">
        <color rgb="FFEBE600"/>
      </top>
      <bottom/>
      <diagonal/>
    </border>
    <border>
      <left style="medium">
        <color theme="2" tint="-0.499984740745262"/>
      </left>
      <right/>
      <top style="medium">
        <color theme="2" tint="-0.499984740745262"/>
      </top>
      <bottom/>
      <diagonal/>
    </border>
    <border>
      <left/>
      <right/>
      <top style="medium">
        <color theme="2" tint="-0.499984740745262"/>
      </top>
      <bottom/>
      <diagonal/>
    </border>
    <border>
      <left/>
      <right style="medium">
        <color theme="2" tint="-0.499984740745262"/>
      </right>
      <top style="medium">
        <color theme="2" tint="-0.499984740745262"/>
      </top>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749992370372631"/>
      </left>
      <right/>
      <top style="thin">
        <color theme="2" tint="-0.749992370372631"/>
      </top>
      <bottom/>
      <diagonal/>
    </border>
    <border>
      <left/>
      <right style="thin">
        <color theme="2" tint="-0.749992370372631"/>
      </right>
      <top style="thin">
        <color theme="2" tint="-0.749992370372631"/>
      </top>
      <bottom/>
      <diagonal/>
    </border>
    <border>
      <left style="thin">
        <color theme="2" tint="-0.749992370372631"/>
      </left>
      <right/>
      <top/>
      <bottom style="thin">
        <color theme="2" tint="-0.749992370372631"/>
      </bottom>
      <diagonal/>
    </border>
    <border>
      <left/>
      <right/>
      <top/>
      <bottom style="thin">
        <color theme="2" tint="-0.749992370372631"/>
      </bottom>
      <diagonal/>
    </border>
    <border>
      <left/>
      <right style="thin">
        <color theme="2" tint="-0.749992370372631"/>
      </right>
      <top/>
      <bottom style="thin">
        <color theme="2" tint="-0.749992370372631"/>
      </bottom>
      <diagonal/>
    </border>
    <border>
      <left/>
      <right/>
      <top/>
      <bottom style="thin">
        <color theme="2" tint="-0.89999084444715716"/>
      </bottom>
      <diagonal/>
    </border>
    <border>
      <left style="thin">
        <color theme="1" tint="0.34998626667073579"/>
      </left>
      <right style="thin">
        <color theme="1" tint="0.34998626667073579"/>
      </right>
      <top style="thin">
        <color theme="1" tint="0.34998626667073579"/>
      </top>
      <bottom/>
      <diagonal/>
    </border>
    <border>
      <left/>
      <right style="thin">
        <color theme="1" tint="0.34998626667073579"/>
      </right>
      <top style="thin">
        <color theme="1" tint="0.34998626667073579"/>
      </top>
      <bottom style="thin">
        <color theme="1" tint="0.34998626667073579"/>
      </bottom>
      <diagonal/>
    </border>
    <border>
      <left/>
      <right style="thin">
        <color theme="2" tint="-0.749992370372631"/>
      </right>
      <top style="thin">
        <color theme="1" tint="0.34998626667073579"/>
      </top>
      <bottom style="thin">
        <color theme="1" tint="0.34998626667073579"/>
      </bottom>
      <diagonal/>
    </border>
    <border>
      <left style="thin">
        <color theme="9" tint="-0.499984740745262"/>
      </left>
      <right style="thin">
        <color theme="1" tint="0.34998626667073579"/>
      </right>
      <top style="thin">
        <color theme="9" tint="-0.499984740745262"/>
      </top>
      <bottom style="thin">
        <color theme="1" tint="0.34998626667073579"/>
      </bottom>
      <diagonal/>
    </border>
    <border>
      <left/>
      <right/>
      <top style="thin">
        <color theme="9" tint="-0.499984740745262"/>
      </top>
      <bottom/>
      <diagonal/>
    </border>
    <border>
      <left style="thin">
        <color theme="1" tint="0.34998626667073579"/>
      </left>
      <right style="thin">
        <color theme="0" tint="-0.34998626667073579"/>
      </right>
      <top style="thin">
        <color theme="9" tint="-0.499984740745262"/>
      </top>
      <bottom style="thin">
        <color theme="2" tint="-0.749992370372631"/>
      </bottom>
      <diagonal/>
    </border>
    <border>
      <left style="thin">
        <color theme="3" tint="-0.499984740745262"/>
      </left>
      <right style="thin">
        <color theme="3" tint="-0.499984740745262"/>
      </right>
      <top/>
      <bottom style="thin">
        <color theme="3" tint="-0.499984740745262"/>
      </bottom>
      <diagonal/>
    </border>
    <border>
      <left style="medium">
        <color rgb="FFCC9900"/>
      </left>
      <right style="thin">
        <color rgb="FFCC9900"/>
      </right>
      <top style="medium">
        <color rgb="FFCC9900"/>
      </top>
      <bottom style="thin">
        <color rgb="FFCC9900"/>
      </bottom>
      <diagonal/>
    </border>
    <border>
      <left style="thin">
        <color rgb="FFCC9900"/>
      </left>
      <right style="medium">
        <color rgb="FFCC9900"/>
      </right>
      <top style="medium">
        <color rgb="FFCC9900"/>
      </top>
      <bottom style="thin">
        <color rgb="FFCC9900"/>
      </bottom>
      <diagonal/>
    </border>
    <border>
      <left style="medium">
        <color rgb="FFCC9900"/>
      </left>
      <right style="thin">
        <color rgb="FFCC9900"/>
      </right>
      <top style="thin">
        <color rgb="FFCC9900"/>
      </top>
      <bottom style="thin">
        <color rgb="FFCC9900"/>
      </bottom>
      <diagonal/>
    </border>
    <border>
      <left style="thin">
        <color rgb="FFCC9900"/>
      </left>
      <right style="medium">
        <color rgb="FFCC9900"/>
      </right>
      <top style="thin">
        <color rgb="FFCC9900"/>
      </top>
      <bottom style="thin">
        <color rgb="FFCC9900"/>
      </bottom>
      <diagonal/>
    </border>
    <border>
      <left style="medium">
        <color rgb="FFCC9900"/>
      </left>
      <right style="thin">
        <color rgb="FFCC9900"/>
      </right>
      <top style="thin">
        <color rgb="FFCC9900"/>
      </top>
      <bottom style="medium">
        <color rgb="FFCC9900"/>
      </bottom>
      <diagonal/>
    </border>
    <border>
      <left style="thin">
        <color rgb="FFCC9900"/>
      </left>
      <right style="medium">
        <color rgb="FFCC9900"/>
      </right>
      <top style="thin">
        <color rgb="FFCC9900"/>
      </top>
      <bottom style="medium">
        <color rgb="FFCC9900"/>
      </bottom>
      <diagonal/>
    </border>
    <border>
      <left style="thin">
        <color theme="9" tint="-0.249977111117893"/>
      </left>
      <right/>
      <top style="thin">
        <color theme="9" tint="-0.249977111117893"/>
      </top>
      <bottom style="medium">
        <color rgb="FFCC9900"/>
      </bottom>
      <diagonal/>
    </border>
    <border>
      <left/>
      <right/>
      <top style="thin">
        <color theme="9" tint="-0.249977111117893"/>
      </top>
      <bottom style="medium">
        <color rgb="FFCC9900"/>
      </bottom>
      <diagonal/>
    </border>
    <border>
      <left style="medium">
        <color rgb="FF00B050"/>
      </left>
      <right/>
      <top style="medium">
        <color rgb="FF00B050"/>
      </top>
      <bottom style="thin">
        <color rgb="FF00B050"/>
      </bottom>
      <diagonal/>
    </border>
    <border>
      <left/>
      <right style="medium">
        <color rgb="FF00B050"/>
      </right>
      <top style="medium">
        <color rgb="FF00B050"/>
      </top>
      <bottom style="thin">
        <color rgb="FF00B050"/>
      </bottom>
      <diagonal/>
    </border>
    <border>
      <left style="medium">
        <color rgb="FF00B050"/>
      </left>
      <right style="thin">
        <color rgb="FF00B050"/>
      </right>
      <top style="thin">
        <color rgb="FF00B050"/>
      </top>
      <bottom style="thin">
        <color rgb="FF00B050"/>
      </bottom>
      <diagonal/>
    </border>
    <border>
      <left style="thin">
        <color rgb="FF00B050"/>
      </left>
      <right style="medium">
        <color rgb="FF00B050"/>
      </right>
      <top style="thin">
        <color rgb="FF00B050"/>
      </top>
      <bottom style="thin">
        <color rgb="FF00B050"/>
      </bottom>
      <diagonal/>
    </border>
    <border>
      <left style="medium">
        <color rgb="FF00B050"/>
      </left>
      <right style="thin">
        <color rgb="FF00B050"/>
      </right>
      <top style="thin">
        <color rgb="FF00B050"/>
      </top>
      <bottom style="medium">
        <color rgb="FF00B050"/>
      </bottom>
      <diagonal/>
    </border>
    <border>
      <left style="thin">
        <color rgb="FF00B050"/>
      </left>
      <right style="medium">
        <color rgb="FF00B050"/>
      </right>
      <top style="thin">
        <color rgb="FF00B050"/>
      </top>
      <bottom style="medium">
        <color rgb="FF00B050"/>
      </bottom>
      <diagonal/>
    </border>
    <border>
      <left style="thin">
        <color indexed="64"/>
      </left>
      <right style="thin">
        <color indexed="64"/>
      </right>
      <top style="thin">
        <color indexed="64"/>
      </top>
      <bottom style="thin">
        <color indexed="64"/>
      </bottom>
      <diagonal/>
    </border>
    <border>
      <left style="thin">
        <color theme="3" tint="-0.499984740745262"/>
      </left>
      <right/>
      <top style="medium">
        <color theme="3" tint="-0.249977111117893"/>
      </top>
      <bottom style="thin">
        <color theme="3" tint="-0.499984740745262"/>
      </bottom>
      <diagonal/>
    </border>
    <border>
      <left/>
      <right/>
      <top style="medium">
        <color theme="3" tint="-0.249977111117893"/>
      </top>
      <bottom style="thin">
        <color theme="3" tint="-0.499984740745262"/>
      </bottom>
      <diagonal/>
    </border>
    <border>
      <left/>
      <right style="thin">
        <color theme="2" tint="-0.499984740745262"/>
      </right>
      <top/>
      <bottom style="thin">
        <color theme="0" tint="-0.499984740745262"/>
      </bottom>
      <diagonal/>
    </border>
    <border>
      <left style="thin">
        <color theme="2" tint="-0.499984740745262"/>
      </left>
      <right style="thin">
        <color theme="2" tint="-0.499984740745262"/>
      </right>
      <top/>
      <bottom style="thin">
        <color theme="0" tint="-0.499984740745262"/>
      </bottom>
      <diagonal/>
    </border>
    <border>
      <left style="thin">
        <color theme="2" tint="-0.499984740745262"/>
      </left>
      <right/>
      <top/>
      <bottom style="thin">
        <color theme="0" tint="-0.499984740745262"/>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top/>
      <bottom style="thin">
        <color theme="0" tint="-0.14999847407452621"/>
      </bottom>
      <diagonal/>
    </border>
    <border>
      <left style="thin">
        <color theme="0" tint="-0.499984740745262"/>
      </left>
      <right style="thin">
        <color theme="0" tint="-0.14999847407452621"/>
      </right>
      <top/>
      <bottom style="thin">
        <color theme="0" tint="-0.14999847407452621"/>
      </bottom>
      <diagonal/>
    </border>
    <border>
      <left style="thin">
        <color theme="0" tint="-0.14999847407452621"/>
      </left>
      <right style="thin">
        <color theme="0" tint="-0.499984740745262"/>
      </right>
      <top/>
      <bottom style="thin">
        <color theme="0" tint="-0.14999847407452621"/>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style="thin">
        <color theme="0" tint="-0.499984740745262"/>
      </left>
      <right style="thin">
        <color theme="0" tint="-0.14999847407452621"/>
      </right>
      <top style="thin">
        <color theme="0" tint="-0.14999847407452621"/>
      </top>
      <bottom style="thin">
        <color theme="0" tint="-0.14999847407452621"/>
      </bottom>
      <diagonal/>
    </border>
    <border>
      <left style="thin">
        <color theme="3" tint="-0.249977111117893"/>
      </left>
      <right style="thin">
        <color theme="3" tint="-0.249977111117893"/>
      </right>
      <top style="thin">
        <color theme="3" tint="-0.249977111117893"/>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0" tint="-0.14999847407452621"/>
      </right>
      <top style="thin">
        <color theme="0" tint="-0.14999847407452621"/>
      </top>
      <bottom style="thin">
        <color theme="0" tint="-0.14999847407452621"/>
      </bottom>
      <diagonal/>
    </border>
    <border>
      <left style="thin">
        <color theme="1" tint="4.9989318521683403E-2"/>
      </left>
      <right style="thin">
        <color theme="1" tint="4.9989318521683403E-2"/>
      </right>
      <top style="thin">
        <color theme="1" tint="4.9989318521683403E-2"/>
      </top>
      <bottom style="thin">
        <color theme="1" tint="4.9989318521683403E-2"/>
      </bottom>
      <diagonal/>
    </border>
    <border>
      <left style="thin">
        <color theme="1" tint="4.9989318521683403E-2"/>
      </left>
      <right style="thin">
        <color theme="1" tint="4.9989318521683403E-2"/>
      </right>
      <top style="thin">
        <color theme="1" tint="4.9989318521683403E-2"/>
      </top>
      <bottom/>
      <diagonal/>
    </border>
    <border>
      <left style="thin">
        <color theme="1" tint="0.249977111117893"/>
      </left>
      <right style="thin">
        <color theme="1" tint="0.249977111117893"/>
      </right>
      <top style="thin">
        <color theme="1" tint="0.249977111117893"/>
      </top>
      <bottom style="thin">
        <color theme="1" tint="0.249977111117893"/>
      </bottom>
      <diagonal/>
    </border>
    <border>
      <left style="thin">
        <color theme="1" tint="0.499984740745262"/>
      </left>
      <right style="thin">
        <color theme="1" tint="0.249977111117893"/>
      </right>
      <top style="thin">
        <color theme="1" tint="4.9989318521683403E-2"/>
      </top>
      <bottom style="thin">
        <color theme="1" tint="4.9989318521683403E-2"/>
      </bottom>
      <diagonal/>
    </border>
    <border>
      <left style="thin">
        <color theme="1" tint="0.249977111117893"/>
      </left>
      <right style="thin">
        <color theme="1" tint="0.499984740745262"/>
      </right>
      <top style="thin">
        <color theme="1" tint="4.9989318521683403E-2"/>
      </top>
      <bottom style="thin">
        <color theme="1" tint="0.249977111117893"/>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theme="8" tint="-0.249977111117893"/>
      </left>
      <right/>
      <top style="medium">
        <color theme="8" tint="-0.249977111117893"/>
      </top>
      <bottom style="medium">
        <color theme="3" tint="-0.249977111117893"/>
      </bottom>
      <diagonal/>
    </border>
    <border>
      <left/>
      <right/>
      <top style="medium">
        <color theme="8" tint="-0.249977111117893"/>
      </top>
      <bottom style="medium">
        <color theme="3" tint="-0.249977111117893"/>
      </bottom>
      <diagonal/>
    </border>
    <border>
      <left/>
      <right style="medium">
        <color theme="8" tint="-0.249977111117893"/>
      </right>
      <top style="medium">
        <color theme="8" tint="-0.249977111117893"/>
      </top>
      <bottom style="medium">
        <color theme="3" tint="-0.249977111117893"/>
      </bottom>
      <diagonal/>
    </border>
    <border>
      <left style="medium">
        <color theme="8" tint="-0.249977111117893"/>
      </left>
      <right style="thin">
        <color theme="3" tint="-0.499984740745262"/>
      </right>
      <top/>
      <bottom style="thin">
        <color theme="3" tint="-0.499984740745262"/>
      </bottom>
      <diagonal/>
    </border>
    <border>
      <left/>
      <right style="medium">
        <color theme="8" tint="-0.249977111117893"/>
      </right>
      <top style="medium">
        <color theme="3" tint="-0.249977111117893"/>
      </top>
      <bottom style="thin">
        <color theme="3" tint="-0.499984740745262"/>
      </bottom>
      <diagonal/>
    </border>
    <border>
      <left style="medium">
        <color theme="8" tint="-0.249977111117893"/>
      </left>
      <right style="thin">
        <color theme="3" tint="-0.499984740745262"/>
      </right>
      <top style="thin">
        <color theme="3" tint="-0.499984740745262"/>
      </top>
      <bottom style="thin">
        <color theme="3" tint="-0.499984740745262"/>
      </bottom>
      <diagonal/>
    </border>
    <border>
      <left style="thin">
        <color theme="3" tint="-0.499984740745262"/>
      </left>
      <right style="medium">
        <color theme="8" tint="-0.249977111117893"/>
      </right>
      <top style="thin">
        <color theme="3" tint="-0.499984740745262"/>
      </top>
      <bottom/>
      <diagonal/>
    </border>
    <border>
      <left style="medium">
        <color theme="8" tint="-0.249977111117893"/>
      </left>
      <right style="thin">
        <color theme="3" tint="-0.499984740745262"/>
      </right>
      <top/>
      <bottom/>
      <diagonal/>
    </border>
    <border>
      <left style="thin">
        <color theme="0" tint="-0.34998626667073579"/>
      </left>
      <right style="medium">
        <color theme="8" tint="-0.249977111117893"/>
      </right>
      <top style="thin">
        <color theme="0" tint="-0.34998626667073579"/>
      </top>
      <bottom style="thin">
        <color theme="0" tint="-0.34998626667073579"/>
      </bottom>
      <diagonal/>
    </border>
    <border>
      <left style="medium">
        <color theme="8" tint="-0.249977111117893"/>
      </left>
      <right style="thin">
        <color theme="3" tint="-0.499984740745262"/>
      </right>
      <top style="thin">
        <color rgb="FFEBE600"/>
      </top>
      <bottom/>
      <diagonal/>
    </border>
    <border>
      <left style="medium">
        <color theme="8" tint="-0.249977111117893"/>
      </left>
      <right style="thin">
        <color theme="3" tint="-0.499984740745262"/>
      </right>
      <top style="thin">
        <color rgb="FFEBE600"/>
      </top>
      <bottom style="medium">
        <color theme="8" tint="-0.249977111117893"/>
      </bottom>
      <diagonal/>
    </border>
    <border>
      <left style="thin">
        <color theme="3" tint="-0.499984740745262"/>
      </left>
      <right style="thin">
        <color theme="0" tint="-0.34998626667073579"/>
      </right>
      <top style="thin">
        <color rgb="FFEBE600"/>
      </top>
      <bottom style="medium">
        <color theme="8" tint="-0.249977111117893"/>
      </bottom>
      <diagonal/>
    </border>
    <border>
      <left style="thin">
        <color theme="0" tint="-0.34998626667073579"/>
      </left>
      <right style="thin">
        <color theme="0" tint="-0.34998626667073579"/>
      </right>
      <top style="thin">
        <color theme="0" tint="-0.34998626667073579"/>
      </top>
      <bottom style="medium">
        <color theme="8" tint="-0.249977111117893"/>
      </bottom>
      <diagonal/>
    </border>
    <border>
      <left style="thin">
        <color theme="0" tint="-0.34998626667073579"/>
      </left>
      <right style="medium">
        <color theme="8" tint="-0.249977111117893"/>
      </right>
      <top style="thin">
        <color theme="0" tint="-0.34998626667073579"/>
      </top>
      <bottom style="medium">
        <color theme="8" tint="-0.249977111117893"/>
      </bottom>
      <diagonal/>
    </border>
    <border>
      <left/>
      <right/>
      <top style="thin">
        <color indexed="64"/>
      </top>
      <bottom style="thin">
        <color indexed="64"/>
      </bottom>
      <diagonal/>
    </border>
    <border>
      <left/>
      <right/>
      <top/>
      <bottom style="thin">
        <color theme="0" tint="-0.14999847407452621"/>
      </bottom>
      <diagonal/>
    </border>
    <border>
      <left style="thin">
        <color indexed="64"/>
      </left>
      <right/>
      <top/>
      <bottom style="thin">
        <color indexed="64"/>
      </bottom>
      <diagonal/>
    </border>
    <border>
      <left/>
      <right/>
      <top/>
      <bottom style="thin">
        <color indexed="64"/>
      </bottom>
      <diagonal/>
    </border>
    <border>
      <left style="thin">
        <color theme="1" tint="4.9989318521683403E-2"/>
      </left>
      <right/>
      <top/>
      <bottom style="thin">
        <color theme="2" tint="-0.89999084444715716"/>
      </bottom>
      <diagonal/>
    </border>
    <border>
      <left/>
      <right style="thin">
        <color indexed="64"/>
      </right>
      <top/>
      <bottom style="thin">
        <color indexed="64"/>
      </bottom>
      <diagonal/>
    </border>
    <border>
      <left style="thin">
        <color theme="1" tint="4.9989318521683403E-2"/>
      </left>
      <right style="thin">
        <color theme="1" tint="4.9989318521683403E-2"/>
      </right>
      <top/>
      <bottom style="thin">
        <color theme="1" tint="0.249977111117893"/>
      </bottom>
      <diagonal/>
    </border>
    <border>
      <left style="thin">
        <color theme="1" tint="0.249977111117893"/>
      </left>
      <right/>
      <top style="thin">
        <color theme="1" tint="4.9989318521683403E-2"/>
      </top>
      <bottom style="thin">
        <color theme="1" tint="0.249977111117893"/>
      </bottom>
      <diagonal/>
    </border>
    <border>
      <left style="thin">
        <color theme="1" tint="0.249977111117893"/>
      </left>
      <right style="thin">
        <color theme="1" tint="0.249977111117893"/>
      </right>
      <top style="thin">
        <color theme="1" tint="0.249977111117893"/>
      </top>
      <bottom/>
      <diagonal/>
    </border>
    <border>
      <left style="thin">
        <color theme="1" tint="0.249977111117893"/>
      </left>
      <right/>
      <top style="thin">
        <color theme="1" tint="4.9989318521683403E-2"/>
      </top>
      <bottom/>
      <diagonal/>
    </border>
    <border>
      <left style="thin">
        <color indexed="64"/>
      </left>
      <right style="thin">
        <color theme="3" tint="0.79998168889431442"/>
      </right>
      <top style="thin">
        <color indexed="64"/>
      </top>
      <bottom style="thin">
        <color indexed="64"/>
      </bottom>
      <diagonal/>
    </border>
    <border>
      <left style="thin">
        <color theme="3" tint="0.79998168889431442"/>
      </left>
      <right style="thin">
        <color theme="3" tint="0.79998168889431442"/>
      </right>
      <top style="thin">
        <color indexed="64"/>
      </top>
      <bottom style="thin">
        <color indexed="64"/>
      </bottom>
      <diagonal/>
    </border>
    <border>
      <left style="thin">
        <color theme="3" tint="0.79998168889431442"/>
      </left>
      <right style="thin">
        <color indexed="64"/>
      </right>
      <top style="thin">
        <color indexed="64"/>
      </top>
      <bottom style="thin">
        <color indexed="64"/>
      </bottom>
      <diagonal/>
    </border>
    <border>
      <left style="thin">
        <color indexed="64"/>
      </left>
      <right style="thin">
        <color theme="3" tint="0.79998168889431442"/>
      </right>
      <top/>
      <bottom style="thin">
        <color theme="3" tint="0.79998168889431442"/>
      </bottom>
      <diagonal/>
    </border>
    <border>
      <left style="thin">
        <color theme="3" tint="0.79998168889431442"/>
      </left>
      <right style="thin">
        <color theme="3" tint="0.79998168889431442"/>
      </right>
      <top/>
      <bottom style="thin">
        <color theme="3" tint="0.79998168889431442"/>
      </bottom>
      <diagonal/>
    </border>
    <border>
      <left style="thin">
        <color theme="3" tint="0.79998168889431442"/>
      </left>
      <right style="thin">
        <color indexed="64"/>
      </right>
      <top/>
      <bottom style="thin">
        <color theme="3" tint="0.79998168889431442"/>
      </bottom>
      <diagonal/>
    </border>
    <border>
      <left style="thin">
        <color theme="0" tint="-0.34998626667073579"/>
      </left>
      <right/>
      <top/>
      <bottom style="thin">
        <color theme="0" tint="-0.34998626667073579"/>
      </bottom>
      <diagonal/>
    </border>
    <border>
      <left style="thin">
        <color theme="1" tint="0.34998626667073579"/>
      </left>
      <right/>
      <top style="thin">
        <color theme="9" tint="-0.499984740745262"/>
      </top>
      <bottom style="thin">
        <color theme="2" tint="-0.749992370372631"/>
      </bottom>
      <diagonal/>
    </border>
    <border>
      <left/>
      <right/>
      <top style="thin">
        <color theme="0" tint="-0.34998626667073579"/>
      </top>
      <bottom style="thin">
        <color theme="2" tint="-0.749992370372631"/>
      </bottom>
      <diagonal/>
    </border>
    <border>
      <left style="thin">
        <color theme="0" tint="-0.34998626667073579"/>
      </left>
      <right/>
      <top style="thin">
        <color theme="2" tint="-0.749992370372631"/>
      </top>
      <bottom style="thin">
        <color theme="2" tint="-0.749992370372631"/>
      </bottom>
      <diagonal/>
    </border>
    <border>
      <left style="thin">
        <color theme="0" tint="-0.34998626667073579"/>
      </left>
      <right/>
      <top style="thin">
        <color theme="0" tint="-0.34998626667073579"/>
      </top>
      <bottom style="thin">
        <color theme="2" tint="-0.749992370372631"/>
      </bottom>
      <diagonal/>
    </border>
    <border>
      <left style="thin">
        <color theme="2" tint="-0.749992370372631"/>
      </left>
      <right style="thin">
        <color indexed="64"/>
      </right>
      <top/>
      <bottom/>
      <diagonal/>
    </border>
    <border>
      <left style="thin">
        <color indexed="64"/>
      </left>
      <right style="thin">
        <color indexed="64"/>
      </right>
      <top style="thin">
        <color indexed="64"/>
      </top>
      <bottom style="thin">
        <color theme="0" tint="-0.34998626667073579"/>
      </bottom>
      <diagonal/>
    </border>
    <border>
      <left style="thin">
        <color indexed="64"/>
      </left>
      <right style="thin">
        <color indexed="64"/>
      </right>
      <top style="thin">
        <color theme="0" tint="-0.34998626667073579"/>
      </top>
      <bottom/>
      <diagonal/>
    </border>
    <border>
      <left style="thin">
        <color indexed="64"/>
      </left>
      <right style="thin">
        <color indexed="64"/>
      </right>
      <top style="thin">
        <color theme="9" tint="-0.499984740745262"/>
      </top>
      <bottom style="thin">
        <color theme="2" tint="-0.749992370372631"/>
      </bottom>
      <diagonal/>
    </border>
    <border>
      <left style="thin">
        <color indexed="64"/>
      </left>
      <right style="thin">
        <color indexed="64"/>
      </right>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bottom style="thin">
        <color theme="2" tint="-0.749992370372631"/>
      </bottom>
      <diagonal/>
    </border>
    <border>
      <left style="thin">
        <color indexed="64"/>
      </left>
      <right style="thin">
        <color indexed="64"/>
      </right>
      <top style="thin">
        <color theme="0" tint="-0.34998626667073579"/>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1" tint="4.9989318521683403E-2"/>
      </left>
      <right style="thin">
        <color theme="1" tint="4.9989318521683403E-2"/>
      </right>
      <top/>
      <bottom/>
      <diagonal/>
    </border>
    <border>
      <left/>
      <right style="thin">
        <color theme="1" tint="0.499984740745262"/>
      </right>
      <top style="thin">
        <color theme="1" tint="4.9989318521683403E-2"/>
      </top>
      <bottom style="thin">
        <color theme="1" tint="0.249977111117893"/>
      </bottom>
      <diagonal/>
    </border>
    <border>
      <left/>
      <right style="thin">
        <color indexed="64"/>
      </right>
      <top/>
      <bottom/>
      <diagonal/>
    </border>
    <border>
      <left style="thin">
        <color indexed="64"/>
      </left>
      <right/>
      <top/>
      <bottom/>
      <diagonal/>
    </border>
    <border>
      <left style="thin">
        <color theme="1" tint="4.9989318521683403E-2"/>
      </left>
      <right style="thin">
        <color theme="1" tint="4.9989318521683403E-2"/>
      </right>
      <top/>
      <bottom style="thin">
        <color theme="1" tint="4.9989318521683403E-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34998626667073579"/>
      </right>
      <top/>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bottom style="thin">
        <color theme="6" tint="-0.499984740745262"/>
      </bottom>
      <diagonal/>
    </border>
    <border>
      <left style="thin">
        <color theme="6" tint="0.39997558519241921"/>
      </left>
      <right style="thin">
        <color theme="6" tint="0.39997558519241921"/>
      </right>
      <top style="thin">
        <color theme="6" tint="0.39997558519241921"/>
      </top>
      <bottom style="thin">
        <color theme="6" tint="0.39997558519241921"/>
      </bottom>
      <diagonal/>
    </border>
    <border>
      <left style="thin">
        <color theme="3" tint="-0.499984740745262"/>
      </left>
      <right/>
      <top style="thin">
        <color theme="3" tint="-0.499984740745262"/>
      </top>
      <bottom style="thin">
        <color theme="3" tint="-0.499984740745262"/>
      </bottom>
      <diagonal/>
    </border>
    <border>
      <left/>
      <right/>
      <top style="thin">
        <color theme="3" tint="-0.499984740745262"/>
      </top>
      <bottom style="thin">
        <color theme="3" tint="-0.499984740745262"/>
      </bottom>
      <diagonal/>
    </border>
    <border>
      <left/>
      <right style="thin">
        <color theme="3" tint="-0.499984740745262"/>
      </right>
      <top style="thin">
        <color theme="3" tint="-0.499984740745262"/>
      </top>
      <bottom style="thin">
        <color theme="3" tint="-0.499984740745262"/>
      </bottom>
      <diagonal/>
    </border>
    <border>
      <left/>
      <right style="thin">
        <color theme="1" tint="0.499984740745262"/>
      </right>
      <top/>
      <bottom/>
      <diagonal/>
    </border>
    <border>
      <left style="thin">
        <color theme="2" tint="-0.749992370372631"/>
      </left>
      <right/>
      <top/>
      <bottom style="thin">
        <color theme="0" tint="-0.499984740745262"/>
      </bottom>
      <diagonal/>
    </border>
    <border>
      <left style="thin">
        <color theme="0" tint="-0.499984740745262"/>
      </left>
      <right/>
      <top/>
      <bottom style="thin">
        <color theme="0" tint="-0.499984740745262"/>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medium">
        <color theme="8" tint="-0.249977111117893"/>
      </right>
      <top style="thin">
        <color theme="0" tint="-0.34998626667073579"/>
      </top>
      <bottom/>
      <diagonal/>
    </border>
    <border>
      <left style="medium">
        <color theme="8" tint="-0.249977111117893"/>
      </left>
      <right/>
      <top/>
      <bottom style="thin">
        <color rgb="FFEBE600"/>
      </bottom>
      <diagonal/>
    </border>
    <border>
      <left/>
      <right style="thin">
        <color theme="0" tint="-0.34998626667073579"/>
      </right>
      <top/>
      <bottom style="thin">
        <color rgb="FFEBE600"/>
      </bottom>
      <diagonal/>
    </border>
    <border>
      <left/>
      <right/>
      <top style="thin">
        <color theme="2" tint="-0.89999084444715716"/>
      </top>
      <bottom/>
      <diagonal/>
    </border>
    <border>
      <left/>
      <right/>
      <top/>
      <bottom style="thin">
        <color theme="9" tint="-0.499984740745262"/>
      </bottom>
      <diagonal/>
    </border>
    <border>
      <left style="medium">
        <color theme="8" tint="-0.249977111117893"/>
      </left>
      <right/>
      <top style="medium">
        <color theme="8" tint="-0.249977111117893"/>
      </top>
      <bottom style="medium">
        <color theme="8" tint="-0.249977111117893"/>
      </bottom>
      <diagonal/>
    </border>
    <border>
      <left/>
      <right style="thin">
        <color theme="0" tint="-0.34998626667073579"/>
      </right>
      <top style="medium">
        <color theme="8" tint="-0.249977111117893"/>
      </top>
      <bottom style="medium">
        <color theme="8" tint="-0.249977111117893"/>
      </bottom>
      <diagonal/>
    </border>
    <border>
      <left/>
      <right/>
      <top style="thin">
        <color theme="1" tint="0.34998626667073579"/>
      </top>
      <bottom style="thin">
        <color theme="1" tint="0.34998626667073579"/>
      </bottom>
      <diagonal/>
    </border>
    <border>
      <left style="thin">
        <color theme="2" tint="-0.749992370372631"/>
      </left>
      <right/>
      <top style="thin">
        <color theme="2" tint="-0.89999084444715716"/>
      </top>
      <bottom style="thin">
        <color theme="2" tint="-0.749992370372631"/>
      </bottom>
      <diagonal/>
    </border>
    <border>
      <left/>
      <right/>
      <top style="thin">
        <color theme="2" tint="-0.89999084444715716"/>
      </top>
      <bottom style="thin">
        <color theme="2" tint="-0.749992370372631"/>
      </bottom>
      <diagonal/>
    </border>
    <border>
      <left/>
      <right style="thin">
        <color theme="2" tint="-0.749992370372631"/>
      </right>
      <top style="thin">
        <color theme="2" tint="-0.89999084444715716"/>
      </top>
      <bottom style="thin">
        <color theme="2" tint="-0.74999237037263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theme="2" tint="-0.89999084444715716"/>
      </left>
      <right/>
      <top style="thin">
        <color theme="2" tint="-0.89999084444715716"/>
      </top>
      <bottom/>
      <diagonal/>
    </border>
    <border>
      <left/>
      <right style="thin">
        <color theme="2" tint="-0.89999084444715716"/>
      </right>
      <top style="thin">
        <color theme="2" tint="-0.89999084444715716"/>
      </top>
      <bottom/>
      <diagonal/>
    </border>
    <border>
      <left/>
      <right style="thin">
        <color indexed="64"/>
      </right>
      <top style="thin">
        <color indexed="64"/>
      </top>
      <bottom/>
      <diagonal/>
    </border>
  </borders>
  <cellStyleXfs count="27">
    <xf numFmtId="0" fontId="0" fillId="0" borderId="0"/>
    <xf numFmtId="9" fontId="1" fillId="0" borderId="0" applyFont="0" applyFill="0" applyBorder="0" applyAlignment="0" applyProtection="0"/>
    <xf numFmtId="43" fontId="1" fillId="0" borderId="0" applyFont="0" applyFill="0" applyBorder="0" applyAlignment="0" applyProtection="0"/>
    <xf numFmtId="0" fontId="4" fillId="0" borderId="0"/>
    <xf numFmtId="0" fontId="4" fillId="0" borderId="0"/>
    <xf numFmtId="0" fontId="4" fillId="0" borderId="0"/>
    <xf numFmtId="0" fontId="10" fillId="0" borderId="0"/>
    <xf numFmtId="43" fontId="1"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43" fontId="10" fillId="0" borderId="0" applyFont="0" applyFill="0" applyBorder="0" applyAlignment="0" applyProtection="0"/>
    <xf numFmtId="43" fontId="4"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0" fontId="4" fillId="0" borderId="0"/>
    <xf numFmtId="0" fontId="1" fillId="0" borderId="0"/>
    <xf numFmtId="0" fontId="11" fillId="0" borderId="0"/>
    <xf numFmtId="0" fontId="11" fillId="0" borderId="0"/>
    <xf numFmtId="0" fontId="4" fillId="0" borderId="0"/>
    <xf numFmtId="164" fontId="4" fillId="0" borderId="0" applyFont="0" applyFill="0" applyBorder="0" applyAlignment="0" applyProtection="0"/>
    <xf numFmtId="44" fontId="1" fillId="0" borderId="0" applyFont="0" applyFill="0" applyBorder="0" applyAlignment="0" applyProtection="0"/>
    <xf numFmtId="0" fontId="1" fillId="0" borderId="0"/>
    <xf numFmtId="44" fontId="1" fillId="0" borderId="0" applyFont="0" applyFill="0" applyBorder="0" applyAlignment="0" applyProtection="0"/>
    <xf numFmtId="0" fontId="22" fillId="0" borderId="0"/>
    <xf numFmtId="0" fontId="8" fillId="0" borderId="0"/>
    <xf numFmtId="9" fontId="8" fillId="0" borderId="0" applyFont="0" applyFill="0" applyBorder="0" applyAlignment="0" applyProtection="0"/>
    <xf numFmtId="43" fontId="8" fillId="0" borderId="0" applyFont="0" applyFill="0" applyBorder="0" applyAlignment="0" applyProtection="0"/>
  </cellStyleXfs>
  <cellXfs count="758">
    <xf numFmtId="0" fontId="0" fillId="0" borderId="0" xfId="0"/>
    <xf numFmtId="0" fontId="4" fillId="12" borderId="4" xfId="0" applyFont="1" applyFill="1" applyBorder="1" applyAlignment="1">
      <alignment horizontal="center" vertical="center" wrapText="1"/>
    </xf>
    <xf numFmtId="0" fontId="5" fillId="2" borderId="0" xfId="0" applyFont="1" applyFill="1" applyAlignment="1">
      <alignment vertical="center"/>
    </xf>
    <xf numFmtId="0" fontId="2" fillId="0" borderId="0" xfId="0" applyFont="1" applyAlignment="1">
      <alignment vertical="center"/>
    </xf>
    <xf numFmtId="10" fontId="2" fillId="0" borderId="0" xfId="1" applyNumberFormat="1" applyFont="1" applyAlignment="1">
      <alignment vertical="center" wrapText="1"/>
    </xf>
    <xf numFmtId="0" fontId="2" fillId="0" borderId="0" xfId="0" applyFont="1" applyAlignment="1">
      <alignment vertical="center" wrapText="1"/>
    </xf>
    <xf numFmtId="10" fontId="2" fillId="0" borderId="0" xfId="1" applyNumberFormat="1" applyFont="1" applyAlignment="1">
      <alignment vertical="center"/>
    </xf>
    <xf numFmtId="0" fontId="4" fillId="0" borderId="0" xfId="0" applyFont="1" applyFill="1" applyAlignment="1">
      <alignment vertical="center"/>
    </xf>
    <xf numFmtId="0" fontId="2" fillId="0" borderId="0" xfId="0" applyFont="1" applyFill="1" applyAlignment="1">
      <alignment vertical="center"/>
    </xf>
    <xf numFmtId="0" fontId="2" fillId="0" borderId="10" xfId="0" applyFont="1" applyFill="1" applyBorder="1" applyAlignment="1">
      <alignment vertical="center" wrapText="1"/>
    </xf>
    <xf numFmtId="0" fontId="2" fillId="0" borderId="0" xfId="0" applyFont="1" applyFill="1" applyAlignment="1">
      <alignment vertical="center" wrapText="1"/>
    </xf>
    <xf numFmtId="0" fontId="2" fillId="7" borderId="23" xfId="0" applyFont="1" applyFill="1" applyBorder="1" applyAlignment="1">
      <alignment horizontal="center" vertical="center" wrapText="1"/>
    </xf>
    <xf numFmtId="0" fontId="2" fillId="7" borderId="23" xfId="0" applyFont="1" applyFill="1" applyBorder="1" applyAlignment="1">
      <alignment horizontal="center" vertical="center"/>
    </xf>
    <xf numFmtId="0" fontId="2" fillId="11" borderId="0" xfId="0" applyFont="1" applyFill="1"/>
    <xf numFmtId="0" fontId="2" fillId="11" borderId="0" xfId="0" applyFont="1" applyFill="1" applyBorder="1"/>
    <xf numFmtId="1" fontId="2" fillId="0" borderId="0" xfId="0" applyNumberFormat="1" applyFont="1" applyAlignment="1">
      <alignment vertical="center"/>
    </xf>
    <xf numFmtId="1" fontId="2" fillId="0" borderId="0" xfId="0" applyNumberFormat="1" applyFont="1" applyFill="1" applyAlignment="1">
      <alignment vertical="center"/>
    </xf>
    <xf numFmtId="0" fontId="4" fillId="3" borderId="40" xfId="0" applyFont="1" applyFill="1" applyBorder="1" applyAlignment="1">
      <alignment vertical="center" wrapText="1"/>
    </xf>
    <xf numFmtId="10" fontId="4" fillId="21" borderId="16" xfId="1" applyNumberFormat="1" applyFont="1" applyFill="1" applyBorder="1" applyAlignment="1">
      <alignment horizontal="left" vertical="center" wrapText="1"/>
    </xf>
    <xf numFmtId="0" fontId="4" fillId="21" borderId="12" xfId="0" applyFont="1" applyFill="1" applyBorder="1" applyAlignment="1">
      <alignment horizontal="left" vertical="center" wrapText="1"/>
    </xf>
    <xf numFmtId="165" fontId="4" fillId="0" borderId="3" xfId="2" applyNumberFormat="1" applyFont="1" applyFill="1" applyBorder="1" applyAlignment="1">
      <alignment vertical="center"/>
    </xf>
    <xf numFmtId="165" fontId="4" fillId="8" borderId="45" xfId="2" applyNumberFormat="1" applyFont="1" applyFill="1" applyBorder="1" applyAlignment="1">
      <alignment vertical="center"/>
    </xf>
    <xf numFmtId="165" fontId="4" fillId="3" borderId="5" xfId="2" applyNumberFormat="1" applyFont="1" applyFill="1" applyBorder="1" applyAlignment="1">
      <alignment vertical="center"/>
    </xf>
    <xf numFmtId="165" fontId="4" fillId="20" borderId="5" xfId="2" applyNumberFormat="1" applyFont="1" applyFill="1" applyBorder="1" applyAlignment="1">
      <alignment vertical="center"/>
    </xf>
    <xf numFmtId="165" fontId="4" fillId="21" borderId="2" xfId="2" applyNumberFormat="1" applyFont="1" applyFill="1" applyBorder="1" applyAlignment="1">
      <alignment vertical="center"/>
    </xf>
    <xf numFmtId="165" fontId="4" fillId="21" borderId="3" xfId="2" applyNumberFormat="1" applyFont="1" applyFill="1" applyBorder="1" applyAlignment="1">
      <alignment vertical="center"/>
    </xf>
    <xf numFmtId="165" fontId="4" fillId="21" borderId="5" xfId="2" applyNumberFormat="1" applyFont="1" applyFill="1" applyBorder="1" applyAlignment="1">
      <alignment vertical="center"/>
    </xf>
    <xf numFmtId="165" fontId="4" fillId="21" borderId="6" xfId="2" applyNumberFormat="1" applyFont="1" applyFill="1" applyBorder="1" applyAlignment="1">
      <alignment vertical="center"/>
    </xf>
    <xf numFmtId="0" fontId="2" fillId="0" borderId="47" xfId="0" applyFont="1" applyFill="1" applyBorder="1" applyAlignment="1">
      <alignment vertical="center"/>
    </xf>
    <xf numFmtId="0" fontId="2" fillId="0" borderId="48" xfId="0" applyFont="1" applyBorder="1" applyAlignment="1">
      <alignment vertical="center" wrapText="1"/>
    </xf>
    <xf numFmtId="0" fontId="2" fillId="0" borderId="49" xfId="0" applyFont="1" applyFill="1" applyBorder="1" applyAlignment="1">
      <alignment vertical="center"/>
    </xf>
    <xf numFmtId="10" fontId="2" fillId="0" borderId="50" xfId="1" applyNumberFormat="1" applyFont="1" applyBorder="1" applyAlignment="1">
      <alignment vertical="center" wrapText="1"/>
    </xf>
    <xf numFmtId="0" fontId="2" fillId="0" borderId="51" xfId="0" applyFont="1" applyFill="1" applyBorder="1" applyAlignment="1">
      <alignment vertical="center"/>
    </xf>
    <xf numFmtId="0" fontId="3" fillId="5" borderId="55" xfId="0" applyFont="1" applyFill="1" applyBorder="1" applyAlignment="1">
      <alignment vertical="center"/>
    </xf>
    <xf numFmtId="0" fontId="3" fillId="5" borderId="56" xfId="0" applyFont="1" applyFill="1" applyBorder="1" applyAlignment="1">
      <alignment vertical="center"/>
    </xf>
    <xf numFmtId="0" fontId="2" fillId="0" borderId="57" xfId="0" applyFont="1" applyFill="1" applyBorder="1" applyAlignment="1">
      <alignment vertical="center"/>
    </xf>
    <xf numFmtId="0" fontId="2" fillId="0" borderId="59" xfId="0" applyFont="1" applyFill="1" applyBorder="1" applyAlignment="1">
      <alignment vertical="center"/>
    </xf>
    <xf numFmtId="10" fontId="2" fillId="17" borderId="58" xfId="1" applyNumberFormat="1" applyFont="1" applyFill="1" applyBorder="1" applyAlignment="1">
      <alignment vertical="center" wrapText="1"/>
    </xf>
    <xf numFmtId="2" fontId="2" fillId="17" borderId="58" xfId="1" applyNumberFormat="1" applyFont="1" applyFill="1" applyBorder="1" applyAlignment="1">
      <alignment vertical="center" wrapText="1"/>
    </xf>
    <xf numFmtId="0" fontId="2" fillId="17" borderId="60" xfId="1" applyNumberFormat="1" applyFont="1" applyFill="1" applyBorder="1" applyAlignment="1">
      <alignment vertical="center" wrapText="1"/>
    </xf>
    <xf numFmtId="10" fontId="2" fillId="23" borderId="52" xfId="1" applyNumberFormat="1" applyFont="1" applyFill="1" applyBorder="1" applyAlignment="1">
      <alignment vertical="center" wrapText="1"/>
    </xf>
    <xf numFmtId="0" fontId="4" fillId="11" borderId="12" xfId="0" applyFont="1" applyFill="1" applyBorder="1" applyAlignment="1">
      <alignment horizontal="left" vertical="center" wrapText="1"/>
    </xf>
    <xf numFmtId="10" fontId="4" fillId="11" borderId="12" xfId="1" applyNumberFormat="1" applyFont="1" applyFill="1" applyBorder="1" applyAlignment="1">
      <alignment horizontal="left" vertical="center" wrapText="1"/>
    </xf>
    <xf numFmtId="9" fontId="2" fillId="0" borderId="0" xfId="0" applyNumberFormat="1" applyFont="1" applyAlignment="1">
      <alignment vertical="center"/>
    </xf>
    <xf numFmtId="0" fontId="12" fillId="0" borderId="0" xfId="0" applyFont="1"/>
    <xf numFmtId="0" fontId="2" fillId="0" borderId="0" xfId="0" applyFont="1"/>
    <xf numFmtId="0" fontId="2" fillId="0" borderId="0" xfId="0" applyFont="1" applyAlignment="1">
      <alignment horizontal="center"/>
    </xf>
    <xf numFmtId="0" fontId="15" fillId="0" borderId="0" xfId="0" applyFont="1"/>
    <xf numFmtId="0" fontId="4" fillId="28" borderId="64" xfId="0" applyFont="1" applyFill="1" applyBorder="1" applyAlignment="1">
      <alignment horizontal="center" vertical="center" wrapText="1"/>
    </xf>
    <xf numFmtId="0" fontId="4" fillId="28" borderId="65" xfId="0" applyFont="1" applyFill="1" applyBorder="1" applyAlignment="1">
      <alignment horizontal="center" vertical="center" wrapText="1"/>
    </xf>
    <xf numFmtId="0" fontId="4" fillId="28" borderId="66" xfId="0" applyFont="1" applyFill="1" applyBorder="1" applyAlignment="1">
      <alignment horizontal="center" vertical="center" wrapText="1"/>
    </xf>
    <xf numFmtId="0" fontId="3" fillId="25" borderId="0" xfId="0" applyFont="1" applyFill="1"/>
    <xf numFmtId="0" fontId="2" fillId="22" borderId="0" xfId="0" applyFont="1" applyFill="1"/>
    <xf numFmtId="0" fontId="3" fillId="4" borderId="74" xfId="0" applyFont="1" applyFill="1" applyBorder="1" applyAlignment="1">
      <alignment horizontal="center" vertical="center" wrapText="1"/>
    </xf>
    <xf numFmtId="0" fontId="4" fillId="0" borderId="75" xfId="0" applyFont="1" applyFill="1" applyBorder="1" applyAlignment="1">
      <alignment horizontal="left"/>
    </xf>
    <xf numFmtId="3" fontId="4" fillId="0" borderId="75" xfId="0" applyNumberFormat="1" applyFont="1" applyFill="1" applyBorder="1"/>
    <xf numFmtId="0" fontId="4" fillId="0" borderId="75" xfId="0" applyFont="1" applyFill="1" applyBorder="1" applyAlignment="1">
      <alignment horizontal="center"/>
    </xf>
    <xf numFmtId="0" fontId="4" fillId="24" borderId="75" xfId="0" applyFont="1" applyFill="1" applyBorder="1" applyAlignment="1">
      <alignment horizontal="left"/>
    </xf>
    <xf numFmtId="3" fontId="4" fillId="24" borderId="75" xfId="0" applyNumberFormat="1" applyFont="1" applyFill="1" applyBorder="1"/>
    <xf numFmtId="0" fontId="4" fillId="24" borderId="75" xfId="0" applyFont="1" applyFill="1" applyBorder="1" applyAlignment="1">
      <alignment horizontal="center"/>
    </xf>
    <xf numFmtId="0" fontId="5" fillId="2" borderId="0" xfId="0" applyFont="1" applyFill="1" applyAlignment="1">
      <alignment horizontal="left" vertical="center"/>
    </xf>
    <xf numFmtId="0" fontId="2" fillId="0" borderId="0" xfId="0" applyFont="1" applyAlignment="1">
      <alignment wrapText="1"/>
    </xf>
    <xf numFmtId="0" fontId="3" fillId="25" borderId="77" xfId="0" applyFont="1" applyFill="1" applyBorder="1" applyAlignment="1">
      <alignment horizontal="center" vertical="center" wrapText="1"/>
    </xf>
    <xf numFmtId="0" fontId="16" fillId="27" borderId="77" xfId="0" applyFont="1" applyFill="1" applyBorder="1" applyAlignment="1">
      <alignment horizontal="center" vertical="center" wrapText="1"/>
    </xf>
    <xf numFmtId="0" fontId="3" fillId="6" borderId="0" xfId="0" applyFont="1" applyFill="1"/>
    <xf numFmtId="0" fontId="3" fillId="6" borderId="0" xfId="0" applyFont="1" applyFill="1" applyAlignment="1">
      <alignment wrapText="1"/>
    </xf>
    <xf numFmtId="166" fontId="2" fillId="0" borderId="0" xfId="0" applyNumberFormat="1" applyFont="1"/>
    <xf numFmtId="166" fontId="2" fillId="0" borderId="0" xfId="0" applyNumberFormat="1" applyFont="1" applyAlignment="1">
      <alignment horizontal="center"/>
    </xf>
    <xf numFmtId="0" fontId="2" fillId="0" borderId="71" xfId="0" applyFont="1" applyBorder="1"/>
    <xf numFmtId="0" fontId="2" fillId="0" borderId="71" xfId="0" applyFont="1" applyBorder="1" applyAlignment="1">
      <alignment horizontal="center"/>
    </xf>
    <xf numFmtId="166" fontId="17" fillId="0" borderId="71" xfId="0" applyNumberFormat="1" applyFont="1" applyBorder="1"/>
    <xf numFmtId="0" fontId="2" fillId="0" borderId="81" xfId="0" applyFont="1" applyBorder="1" applyAlignment="1"/>
    <xf numFmtId="0" fontId="3" fillId="31" borderId="0" xfId="0" applyFont="1" applyFill="1"/>
    <xf numFmtId="0" fontId="3" fillId="31" borderId="0" xfId="0" applyFont="1" applyFill="1" applyAlignment="1">
      <alignment wrapText="1"/>
    </xf>
    <xf numFmtId="166" fontId="18" fillId="0" borderId="71" xfId="0" applyNumberFormat="1" applyFont="1" applyBorder="1"/>
    <xf numFmtId="0" fontId="2" fillId="0" borderId="0" xfId="0" applyFont="1" applyFill="1" applyAlignment="1">
      <alignment horizontal="center" vertical="center"/>
    </xf>
    <xf numFmtId="0" fontId="3" fillId="13" borderId="84" xfId="0" applyFont="1" applyFill="1" applyBorder="1" applyAlignment="1">
      <alignment vertical="center"/>
    </xf>
    <xf numFmtId="0" fontId="3" fillId="13" borderId="85" xfId="0" applyFont="1" applyFill="1" applyBorder="1" applyAlignment="1">
      <alignment vertical="center"/>
    </xf>
    <xf numFmtId="0" fontId="3" fillId="13" borderId="86" xfId="0" applyFont="1" applyFill="1" applyBorder="1" applyAlignment="1">
      <alignment vertical="center"/>
    </xf>
    <xf numFmtId="0" fontId="2" fillId="7" borderId="90" xfId="0" applyFont="1" applyFill="1" applyBorder="1" applyAlignment="1">
      <alignment horizontal="center" vertical="center"/>
    </xf>
    <xf numFmtId="0" fontId="3" fillId="31" borderId="82" xfId="0" applyFont="1" applyFill="1" applyBorder="1" applyAlignment="1">
      <alignment vertical="center"/>
    </xf>
    <xf numFmtId="0" fontId="3" fillId="31" borderId="98" xfId="0" applyFont="1" applyFill="1" applyBorder="1" applyAlignment="1">
      <alignment vertical="center"/>
    </xf>
    <xf numFmtId="0" fontId="3" fillId="31" borderId="83" xfId="0" applyFont="1" applyFill="1" applyBorder="1" applyAlignment="1">
      <alignment vertical="center"/>
    </xf>
    <xf numFmtId="0" fontId="2" fillId="17" borderId="0" xfId="0" applyFont="1" applyFill="1" applyAlignment="1">
      <alignment vertical="center"/>
    </xf>
    <xf numFmtId="10" fontId="4" fillId="0" borderId="43" xfId="1" applyNumberFormat="1" applyFont="1" applyFill="1" applyBorder="1" applyAlignment="1">
      <alignment horizontal="left" vertical="center" wrapText="1"/>
    </xf>
    <xf numFmtId="0" fontId="2" fillId="0" borderId="0" xfId="0" applyFont="1" applyAlignment="1">
      <alignment horizontal="center" vertical="center" wrapText="1"/>
    </xf>
    <xf numFmtId="0" fontId="6" fillId="14" borderId="0" xfId="0" applyFont="1" applyFill="1" applyAlignment="1">
      <alignment vertical="center"/>
    </xf>
    <xf numFmtId="0" fontId="12" fillId="14" borderId="0" xfId="0" applyFont="1" applyFill="1"/>
    <xf numFmtId="0" fontId="2" fillId="24" borderId="0" xfId="0" applyFont="1" applyFill="1" applyAlignment="1"/>
    <xf numFmtId="0" fontId="12" fillId="14" borderId="0" xfId="0" applyFont="1" applyFill="1" applyAlignment="1">
      <alignment wrapText="1"/>
    </xf>
    <xf numFmtId="0" fontId="2" fillId="24" borderId="0" xfId="0" applyFont="1" applyFill="1" applyAlignment="1">
      <alignment wrapText="1"/>
    </xf>
    <xf numFmtId="0" fontId="12" fillId="0" borderId="0" xfId="0" applyFont="1" applyAlignment="1">
      <alignment wrapText="1"/>
    </xf>
    <xf numFmtId="0" fontId="12" fillId="33" borderId="61" xfId="0" applyFont="1" applyFill="1" applyBorder="1" applyAlignment="1">
      <alignment horizontal="center" vertical="center"/>
    </xf>
    <xf numFmtId="0" fontId="2" fillId="0" borderId="105" xfId="0" applyFont="1" applyBorder="1" applyAlignment="1">
      <alignment wrapText="1"/>
    </xf>
    <xf numFmtId="0" fontId="2" fillId="0" borderId="107" xfId="0" applyFont="1" applyBorder="1" applyAlignment="1">
      <alignment wrapText="1"/>
    </xf>
    <xf numFmtId="0" fontId="9" fillId="31" borderId="82" xfId="0" applyFont="1" applyFill="1" applyBorder="1"/>
    <xf numFmtId="0" fontId="9" fillId="31" borderId="98" xfId="0" applyFont="1" applyFill="1" applyBorder="1"/>
    <xf numFmtId="0" fontId="9" fillId="31" borderId="98" xfId="0" applyFont="1" applyFill="1" applyBorder="1" applyAlignment="1">
      <alignment wrapText="1"/>
    </xf>
    <xf numFmtId="0" fontId="12" fillId="0" borderId="108" xfId="0" applyFont="1" applyBorder="1"/>
    <xf numFmtId="0" fontId="12" fillId="0" borderId="109" xfId="0" applyFont="1" applyBorder="1"/>
    <xf numFmtId="0" fontId="12" fillId="0" borderId="110" xfId="0" applyFont="1" applyBorder="1"/>
    <xf numFmtId="0" fontId="12" fillId="0" borderId="111" xfId="0" applyFont="1" applyBorder="1"/>
    <xf numFmtId="0" fontId="12" fillId="0" borderId="112" xfId="0" applyFont="1" applyBorder="1"/>
    <xf numFmtId="0" fontId="12" fillId="0" borderId="113" xfId="0" applyFont="1" applyBorder="1"/>
    <xf numFmtId="165" fontId="4" fillId="0" borderId="114" xfId="2" applyNumberFormat="1" applyFont="1" applyFill="1" applyBorder="1" applyAlignment="1">
      <alignment vertical="center"/>
    </xf>
    <xf numFmtId="165" fontId="4" fillId="8" borderId="115" xfId="2" applyNumberFormat="1" applyFont="1" applyFill="1" applyBorder="1" applyAlignment="1">
      <alignment vertical="center"/>
    </xf>
    <xf numFmtId="165" fontId="4" fillId="3" borderId="116" xfId="2" applyNumberFormat="1" applyFont="1" applyFill="1" applyBorder="1" applyAlignment="1">
      <alignment vertical="center"/>
    </xf>
    <xf numFmtId="165" fontId="4" fillId="20" borderId="117" xfId="2" applyNumberFormat="1" applyFont="1" applyFill="1" applyBorder="1" applyAlignment="1">
      <alignment vertical="center"/>
    </xf>
    <xf numFmtId="165" fontId="4" fillId="21" borderId="114" xfId="2" applyNumberFormat="1" applyFont="1" applyFill="1" applyBorder="1" applyAlignment="1">
      <alignment vertical="center"/>
    </xf>
    <xf numFmtId="165" fontId="4" fillId="21" borderId="118" xfId="2" applyNumberFormat="1" applyFont="1" applyFill="1" applyBorder="1" applyAlignment="1">
      <alignment vertical="center"/>
    </xf>
    <xf numFmtId="0" fontId="2" fillId="0" borderId="80" xfId="0" applyFont="1" applyBorder="1" applyAlignment="1">
      <alignment vertical="center" wrapText="1"/>
    </xf>
    <xf numFmtId="44" fontId="2" fillId="0" borderId="1" xfId="20" applyFont="1" applyBorder="1" applyAlignment="1">
      <alignment vertical="center"/>
    </xf>
    <xf numFmtId="44" fontId="2" fillId="0" borderId="92" xfId="20" applyFont="1" applyFill="1" applyBorder="1" applyAlignment="1">
      <alignment vertical="center"/>
    </xf>
    <xf numFmtId="44" fontId="2" fillId="0" borderId="96" xfId="20" applyFont="1" applyBorder="1" applyAlignment="1">
      <alignment vertical="center"/>
    </xf>
    <xf numFmtId="4" fontId="2" fillId="0" borderId="1" xfId="20" applyNumberFormat="1" applyFont="1" applyBorder="1" applyAlignment="1">
      <alignment vertical="center"/>
    </xf>
    <xf numFmtId="4" fontId="2" fillId="0" borderId="92" xfId="20" applyNumberFormat="1" applyFont="1" applyFill="1" applyBorder="1" applyAlignment="1">
      <alignment vertical="center"/>
    </xf>
    <xf numFmtId="9" fontId="2" fillId="0" borderId="0" xfId="1" applyFont="1" applyAlignment="1">
      <alignment vertical="center"/>
    </xf>
    <xf numFmtId="0" fontId="2" fillId="17" borderId="67" xfId="0" applyFont="1" applyFill="1" applyBorder="1" applyAlignment="1">
      <alignment wrapText="1"/>
    </xf>
    <xf numFmtId="0" fontId="2" fillId="0" borderId="76" xfId="0" applyFont="1" applyBorder="1" applyAlignment="1">
      <alignment wrapText="1"/>
    </xf>
    <xf numFmtId="0" fontId="2" fillId="0" borderId="72" xfId="0" applyFont="1" applyBorder="1" applyAlignment="1">
      <alignment wrapText="1"/>
    </xf>
    <xf numFmtId="166" fontId="2" fillId="17" borderId="67" xfId="0" applyNumberFormat="1" applyFont="1" applyFill="1" applyBorder="1" applyAlignment="1">
      <alignment wrapText="1"/>
    </xf>
    <xf numFmtId="166" fontId="2" fillId="17" borderId="68" xfId="0" applyNumberFormat="1" applyFont="1" applyFill="1" applyBorder="1" applyAlignment="1">
      <alignment wrapText="1"/>
    </xf>
    <xf numFmtId="41" fontId="2" fillId="0" borderId="72" xfId="0" applyNumberFormat="1" applyFont="1" applyBorder="1" applyAlignment="1">
      <alignment wrapText="1"/>
    </xf>
    <xf numFmtId="166" fontId="2" fillId="32" borderId="68" xfId="0" applyNumberFormat="1" applyFont="1" applyFill="1" applyBorder="1" applyAlignment="1">
      <alignment wrapText="1"/>
    </xf>
    <xf numFmtId="10" fontId="2" fillId="0" borderId="67" xfId="0" applyNumberFormat="1" applyFont="1" applyFill="1" applyBorder="1" applyAlignment="1">
      <alignment wrapText="1"/>
    </xf>
    <xf numFmtId="8" fontId="2" fillId="17" borderId="69" xfId="0" applyNumberFormat="1" applyFont="1" applyFill="1" applyBorder="1" applyAlignment="1">
      <alignment wrapText="1"/>
    </xf>
    <xf numFmtId="10" fontId="2" fillId="17" borderId="99" xfId="0" applyNumberFormat="1" applyFont="1" applyFill="1" applyBorder="1" applyAlignment="1">
      <alignment wrapText="1"/>
    </xf>
    <xf numFmtId="0" fontId="2" fillId="17" borderId="70" xfId="0" applyFont="1" applyFill="1" applyBorder="1" applyAlignment="1">
      <alignment wrapText="1"/>
    </xf>
    <xf numFmtId="0" fontId="2" fillId="0" borderId="68" xfId="0" applyFont="1" applyBorder="1" applyAlignment="1">
      <alignment wrapText="1"/>
    </xf>
    <xf numFmtId="0" fontId="2" fillId="0" borderId="67" xfId="0" applyFont="1" applyBorder="1" applyAlignment="1">
      <alignment wrapText="1"/>
    </xf>
    <xf numFmtId="0" fontId="2" fillId="0" borderId="67" xfId="0" applyFont="1" applyBorder="1" applyAlignment="1">
      <alignment horizontal="center" wrapText="1"/>
    </xf>
    <xf numFmtId="166" fontId="2" fillId="0" borderId="67" xfId="0" applyNumberFormat="1" applyFont="1" applyBorder="1" applyAlignment="1">
      <alignment wrapText="1"/>
    </xf>
    <xf numFmtId="0" fontId="2" fillId="0" borderId="73" xfId="0" applyFont="1" applyBorder="1" applyAlignment="1">
      <alignment wrapText="1"/>
    </xf>
    <xf numFmtId="0" fontId="2" fillId="0" borderId="129" xfId="0" applyFont="1" applyBorder="1"/>
    <xf numFmtId="0" fontId="2" fillId="0" borderId="129" xfId="0" applyFont="1" applyBorder="1" applyAlignment="1">
      <alignment wrapText="1"/>
    </xf>
    <xf numFmtId="0" fontId="6" fillId="0" borderId="80" xfId="0" applyFont="1" applyBorder="1" applyAlignment="1">
      <alignment vertical="center" wrapText="1"/>
    </xf>
    <xf numFmtId="0" fontId="12" fillId="0" borderId="0" xfId="0" applyFont="1" applyFill="1"/>
    <xf numFmtId="0" fontId="12" fillId="0" borderId="0" xfId="0" applyFont="1" applyAlignment="1">
      <alignment horizontal="center"/>
    </xf>
    <xf numFmtId="0" fontId="12" fillId="0" borderId="0" xfId="0" applyFont="1" applyAlignment="1">
      <alignment vertical="center" wrapText="1"/>
    </xf>
    <xf numFmtId="0" fontId="24" fillId="0" borderId="0" xfId="0" applyFont="1"/>
    <xf numFmtId="0" fontId="0" fillId="25" borderId="130" xfId="0" applyFill="1" applyBorder="1" applyAlignment="1">
      <alignment horizontal="center"/>
    </xf>
    <xf numFmtId="0" fontId="8" fillId="0" borderId="0" xfId="0" applyFont="1"/>
    <xf numFmtId="0" fontId="24" fillId="8" borderId="61" xfId="0" applyFont="1" applyFill="1" applyBorder="1" applyAlignment="1">
      <alignment horizontal="center"/>
    </xf>
    <xf numFmtId="170" fontId="0" fillId="0" borderId="0" xfId="0" applyNumberFormat="1"/>
    <xf numFmtId="3" fontId="21" fillId="0" borderId="61" xfId="0" applyNumberFormat="1" applyFont="1" applyBorder="1" applyAlignment="1">
      <alignment horizontal="center"/>
    </xf>
    <xf numFmtId="0" fontId="0" fillId="25" borderId="130" xfId="0" applyFill="1" applyBorder="1"/>
    <xf numFmtId="0" fontId="13" fillId="34" borderId="61" xfId="0" applyFont="1" applyFill="1" applyBorder="1" applyAlignment="1">
      <alignment horizontal="center"/>
    </xf>
    <xf numFmtId="0" fontId="0" fillId="25" borderId="61" xfId="0" applyFill="1" applyBorder="1" applyAlignment="1">
      <alignment horizontal="center"/>
    </xf>
    <xf numFmtId="0" fontId="24" fillId="22" borderId="61" xfId="0" applyFont="1" applyFill="1" applyBorder="1"/>
    <xf numFmtId="0" fontId="24" fillId="37" borderId="61" xfId="0" applyFont="1" applyFill="1" applyBorder="1" applyAlignment="1">
      <alignment horizontal="center"/>
    </xf>
    <xf numFmtId="0" fontId="12" fillId="22" borderId="61" xfId="0" applyFont="1" applyFill="1" applyBorder="1" applyAlignment="1">
      <alignment horizontal="center"/>
    </xf>
    <xf numFmtId="0" fontId="0" fillId="14" borderId="61" xfId="0" applyFill="1" applyBorder="1"/>
    <xf numFmtId="170" fontId="0" fillId="0" borderId="61" xfId="0" applyNumberFormat="1" applyBorder="1"/>
    <xf numFmtId="171" fontId="0" fillId="0" borderId="0" xfId="0" applyNumberFormat="1" applyBorder="1"/>
    <xf numFmtId="171" fontId="0" fillId="11" borderId="0" xfId="0" applyNumberFormat="1" applyFill="1" applyBorder="1"/>
    <xf numFmtId="171" fontId="0" fillId="0" borderId="0" xfId="0" applyNumberFormat="1"/>
    <xf numFmtId="171" fontId="0" fillId="0" borderId="128" xfId="0" applyNumberFormat="1" applyBorder="1"/>
    <xf numFmtId="172" fontId="12" fillId="0" borderId="132" xfId="0" applyNumberFormat="1" applyFont="1" applyBorder="1"/>
    <xf numFmtId="165" fontId="12" fillId="0" borderId="133" xfId="0" applyNumberFormat="1" applyFont="1" applyBorder="1"/>
    <xf numFmtId="0" fontId="0" fillId="16" borderId="61" xfId="0" applyFill="1" applyBorder="1"/>
    <xf numFmtId="0" fontId="0" fillId="23" borderId="61" xfId="0" applyFill="1" applyBorder="1"/>
    <xf numFmtId="43" fontId="12" fillId="0" borderId="133" xfId="0" applyNumberFormat="1" applyFont="1" applyBorder="1"/>
    <xf numFmtId="0" fontId="24" fillId="37" borderId="82" xfId="0" applyFont="1" applyFill="1" applyBorder="1" applyAlignment="1">
      <alignment horizontal="center"/>
    </xf>
    <xf numFmtId="165" fontId="0" fillId="0" borderId="0" xfId="0" applyNumberFormat="1"/>
    <xf numFmtId="2" fontId="12" fillId="0" borderId="0" xfId="0" applyNumberFormat="1" applyFont="1" applyFill="1"/>
    <xf numFmtId="0" fontId="12" fillId="24" borderId="130" xfId="0" applyFont="1" applyFill="1" applyBorder="1" applyAlignment="1">
      <alignment horizontal="center" vertical="center" wrapText="1"/>
    </xf>
    <xf numFmtId="0" fontId="12" fillId="0" borderId="132" xfId="0" applyFont="1" applyFill="1" applyBorder="1" applyAlignment="1">
      <alignment horizontal="center"/>
    </xf>
    <xf numFmtId="0" fontId="12" fillId="0" borderId="132" xfId="0" applyFont="1" applyFill="1" applyBorder="1"/>
    <xf numFmtId="2" fontId="12" fillId="0" borderId="132" xfId="0" applyNumberFormat="1" applyFont="1" applyFill="1" applyBorder="1"/>
    <xf numFmtId="0" fontId="23" fillId="0" borderId="132" xfId="23" applyFont="1" applyFill="1" applyBorder="1" applyAlignment="1"/>
    <xf numFmtId="22" fontId="12" fillId="0" borderId="132" xfId="0" applyNumberFormat="1" applyFont="1" applyFill="1" applyBorder="1"/>
    <xf numFmtId="0" fontId="12" fillId="0" borderId="132" xfId="0" applyFont="1" applyBorder="1" applyAlignment="1">
      <alignment horizontal="center"/>
    </xf>
    <xf numFmtId="0" fontId="12" fillId="0" borderId="132" xfId="0" applyFont="1" applyBorder="1"/>
    <xf numFmtId="2" fontId="12" fillId="0" borderId="132" xfId="0" applyNumberFormat="1" applyFont="1" applyBorder="1"/>
    <xf numFmtId="22" fontId="12" fillId="0" borderId="132" xfId="0" applyNumberFormat="1" applyFont="1" applyBorder="1"/>
    <xf numFmtId="0" fontId="12" fillId="33" borderId="130" xfId="0" applyFont="1" applyFill="1" applyBorder="1" applyAlignment="1">
      <alignment horizontal="center" vertical="center" wrapText="1"/>
    </xf>
    <xf numFmtId="0" fontId="12" fillId="19" borderId="130" xfId="0" applyFont="1" applyFill="1" applyBorder="1" applyAlignment="1">
      <alignment horizontal="center" vertical="center" wrapText="1"/>
    </xf>
    <xf numFmtId="169" fontId="12" fillId="0" borderId="132" xfId="0" applyNumberFormat="1" applyFont="1" applyBorder="1"/>
    <xf numFmtId="0" fontId="12" fillId="12" borderId="132" xfId="0" applyFont="1" applyFill="1" applyBorder="1"/>
    <xf numFmtId="2" fontId="12" fillId="12" borderId="132" xfId="0" applyNumberFormat="1" applyFont="1" applyFill="1" applyBorder="1"/>
    <xf numFmtId="169" fontId="12" fillId="12" borderId="132" xfId="0" applyNumberFormat="1" applyFont="1" applyFill="1" applyBorder="1"/>
    <xf numFmtId="0" fontId="9" fillId="4" borderId="23" xfId="0" applyFont="1" applyFill="1" applyBorder="1" applyAlignment="1">
      <alignment horizontal="center"/>
    </xf>
    <xf numFmtId="0" fontId="0" fillId="38" borderId="0" xfId="0" applyFill="1"/>
    <xf numFmtId="0" fontId="25" fillId="38" borderId="0" xfId="0" applyFont="1" applyFill="1" applyAlignment="1"/>
    <xf numFmtId="0" fontId="14" fillId="38" borderId="0" xfId="0" applyFont="1" applyFill="1"/>
    <xf numFmtId="0" fontId="26" fillId="38" borderId="0" xfId="0" applyFont="1" applyFill="1" applyAlignment="1"/>
    <xf numFmtId="3" fontId="7" fillId="0" borderId="120" xfId="0" applyNumberFormat="1" applyFont="1" applyFill="1" applyBorder="1" applyAlignment="1">
      <alignment vertical="center"/>
    </xf>
    <xf numFmtId="3" fontId="7" fillId="0" borderId="121" xfId="0" applyNumberFormat="1" applyFont="1" applyFill="1" applyBorder="1" applyAlignment="1">
      <alignment vertical="center"/>
    </xf>
    <xf numFmtId="3" fontId="7" fillId="8" borderId="122" xfId="0" applyNumberFormat="1" applyFont="1" applyFill="1" applyBorder="1" applyAlignment="1">
      <alignment vertical="center"/>
    </xf>
    <xf numFmtId="3" fontId="7" fillId="0" borderId="123" xfId="0" applyNumberFormat="1" applyFont="1" applyFill="1" applyBorder="1" applyAlignment="1">
      <alignment vertical="center"/>
    </xf>
    <xf numFmtId="3" fontId="7" fillId="0" borderId="124" xfId="0" applyNumberFormat="1" applyFont="1" applyFill="1" applyBorder="1" applyAlignment="1">
      <alignment vertical="center"/>
    </xf>
    <xf numFmtId="3" fontId="7" fillId="3" borderId="125" xfId="0" applyNumberFormat="1" applyFont="1" applyFill="1" applyBorder="1" applyAlignment="1">
      <alignment vertical="center"/>
    </xf>
    <xf numFmtId="3" fontId="7" fillId="20" borderId="125" xfId="0" applyNumberFormat="1" applyFont="1" applyFill="1" applyBorder="1" applyAlignment="1">
      <alignment vertical="center"/>
    </xf>
    <xf numFmtId="3" fontId="7" fillId="21" borderId="123" xfId="0" applyNumberFormat="1" applyFont="1" applyFill="1" applyBorder="1" applyAlignment="1">
      <alignment vertical="center"/>
    </xf>
    <xf numFmtId="3" fontId="7" fillId="21" borderId="126" xfId="0" applyNumberFormat="1" applyFont="1" applyFill="1" applyBorder="1" applyAlignment="1">
      <alignment vertical="center"/>
    </xf>
    <xf numFmtId="0" fontId="2" fillId="0" borderId="0" xfId="0" applyFont="1" applyAlignment="1">
      <alignment horizontal="right"/>
    </xf>
    <xf numFmtId="0" fontId="6" fillId="0" borderId="135" xfId="0" applyFont="1" applyBorder="1" applyAlignment="1">
      <alignment horizontal="right" vertical="center" wrapText="1"/>
    </xf>
    <xf numFmtId="0" fontId="2" fillId="0" borderId="135" xfId="0" applyFont="1" applyBorder="1" applyAlignment="1">
      <alignment horizontal="right" vertical="center" wrapText="1"/>
    </xf>
    <xf numFmtId="0" fontId="3" fillId="6" borderId="0" xfId="0" applyFont="1" applyFill="1" applyAlignment="1">
      <alignment horizontal="right"/>
    </xf>
    <xf numFmtId="0" fontId="3" fillId="31" borderId="0" xfId="0" applyFont="1" applyFill="1" applyAlignment="1">
      <alignment horizontal="right"/>
    </xf>
    <xf numFmtId="0" fontId="2" fillId="0" borderId="0" xfId="0" applyFont="1" applyAlignment="1">
      <alignment horizontal="right" wrapText="1"/>
    </xf>
    <xf numFmtId="2" fontId="2" fillId="0" borderId="0" xfId="0" applyNumberFormat="1" applyFont="1" applyFill="1" applyAlignment="1">
      <alignment vertical="center"/>
    </xf>
    <xf numFmtId="4" fontId="2" fillId="0" borderId="96" xfId="20" applyNumberFormat="1" applyFont="1" applyBorder="1" applyAlignment="1">
      <alignment vertical="center"/>
    </xf>
    <xf numFmtId="39" fontId="2" fillId="0" borderId="96" xfId="20" applyNumberFormat="1" applyFont="1" applyBorder="1" applyAlignment="1">
      <alignment vertical="center"/>
    </xf>
    <xf numFmtId="39" fontId="2" fillId="0" borderId="97" xfId="20" applyNumberFormat="1" applyFont="1" applyBorder="1" applyAlignment="1">
      <alignment vertical="center"/>
    </xf>
    <xf numFmtId="165" fontId="4" fillId="0" borderId="142" xfId="2" applyNumberFormat="1" applyFont="1" applyFill="1" applyBorder="1" applyAlignment="1">
      <alignment vertical="center"/>
    </xf>
    <xf numFmtId="165" fontId="4" fillId="0" borderId="0" xfId="2" applyNumberFormat="1" applyFont="1" applyFill="1" applyBorder="1" applyAlignment="1">
      <alignment vertical="center"/>
    </xf>
    <xf numFmtId="3" fontId="7" fillId="0" borderId="128" xfId="0" applyNumberFormat="1" applyFont="1" applyFill="1" applyBorder="1" applyAlignment="1">
      <alignment vertical="center"/>
    </xf>
    <xf numFmtId="0" fontId="20" fillId="2" borderId="0" xfId="0" applyFont="1" applyFill="1" applyAlignment="1">
      <alignment horizontal="left" vertical="center"/>
    </xf>
    <xf numFmtId="0" fontId="20" fillId="2" borderId="0" xfId="0" applyFont="1" applyFill="1" applyAlignment="1">
      <alignment horizontal="left" vertical="center" wrapText="1"/>
    </xf>
    <xf numFmtId="0" fontId="13" fillId="14" borderId="0" xfId="0" applyFont="1" applyFill="1" applyAlignment="1">
      <alignment horizontal="right" vertical="center" wrapText="1"/>
    </xf>
    <xf numFmtId="0" fontId="13" fillId="0" borderId="0" xfId="0" applyFont="1" applyFill="1" applyAlignment="1">
      <alignment vertical="center" wrapText="1"/>
    </xf>
    <xf numFmtId="0" fontId="12" fillId="0" borderId="0" xfId="0" applyFont="1" applyAlignment="1">
      <alignment horizontal="right"/>
    </xf>
    <xf numFmtId="0" fontId="27" fillId="0" borderId="0" xfId="0" applyFont="1"/>
    <xf numFmtId="0" fontId="12" fillId="0" borderId="0" xfId="0" applyFont="1" applyFill="1" applyAlignment="1">
      <alignment horizontal="left"/>
    </xf>
    <xf numFmtId="0" fontId="27" fillId="0" borderId="0" xfId="0" applyFont="1" applyFill="1"/>
    <xf numFmtId="165" fontId="2" fillId="0" borderId="73" xfId="0" applyNumberFormat="1" applyFont="1" applyBorder="1" applyAlignment="1">
      <alignment wrapText="1"/>
    </xf>
    <xf numFmtId="0" fontId="3" fillId="4" borderId="146" xfId="0" applyFont="1" applyFill="1" applyBorder="1" applyAlignment="1">
      <alignment vertical="center"/>
    </xf>
    <xf numFmtId="0" fontId="2" fillId="4" borderId="147" xfId="0" applyFont="1" applyFill="1" applyBorder="1" applyAlignment="1">
      <alignment vertical="center"/>
    </xf>
    <xf numFmtId="0" fontId="2" fillId="4" borderId="148" xfId="0" applyFont="1" applyFill="1" applyBorder="1" applyAlignment="1">
      <alignment vertical="center"/>
    </xf>
    <xf numFmtId="3" fontId="2" fillId="0" borderId="0" xfId="0" applyNumberFormat="1" applyFont="1" applyFill="1" applyAlignment="1">
      <alignment vertical="center"/>
    </xf>
    <xf numFmtId="10" fontId="2" fillId="0" borderId="61" xfId="0" applyNumberFormat="1" applyFont="1" applyFill="1" applyBorder="1" applyAlignment="1">
      <alignment vertical="center"/>
    </xf>
    <xf numFmtId="0" fontId="2" fillId="0" borderId="61" xfId="0" applyFont="1" applyFill="1" applyBorder="1" applyAlignment="1">
      <alignment vertical="center"/>
    </xf>
    <xf numFmtId="0" fontId="2" fillId="11" borderId="61" xfId="0" applyFont="1" applyFill="1" applyBorder="1" applyAlignment="1">
      <alignment vertical="center"/>
    </xf>
    <xf numFmtId="10" fontId="2" fillId="11" borderId="61" xfId="1" applyNumberFormat="1" applyFont="1" applyFill="1" applyBorder="1" applyAlignment="1">
      <alignment vertical="center" wrapText="1"/>
    </xf>
    <xf numFmtId="0" fontId="0" fillId="11" borderId="61" xfId="0" applyFill="1" applyBorder="1"/>
    <xf numFmtId="0" fontId="2" fillId="11" borderId="61" xfId="0" applyFont="1" applyFill="1" applyBorder="1" applyAlignment="1">
      <alignment vertical="center" wrapText="1"/>
    </xf>
    <xf numFmtId="2" fontId="2" fillId="11" borderId="61" xfId="0" applyNumberFormat="1" applyFont="1" applyFill="1" applyBorder="1" applyAlignment="1">
      <alignment vertical="center"/>
    </xf>
    <xf numFmtId="44" fontId="2" fillId="11" borderId="61" xfId="20" applyFont="1" applyFill="1" applyBorder="1" applyAlignment="1">
      <alignment vertical="center" wrapText="1"/>
    </xf>
    <xf numFmtId="43" fontId="2" fillId="11" borderId="61" xfId="0" applyNumberFormat="1" applyFont="1" applyFill="1" applyBorder="1" applyAlignment="1">
      <alignment vertical="center" wrapText="1"/>
    </xf>
    <xf numFmtId="0" fontId="28" fillId="11" borderId="0" xfId="0" applyFont="1" applyFill="1"/>
    <xf numFmtId="0" fontId="19" fillId="11" borderId="0" xfId="0" applyFont="1" applyFill="1"/>
    <xf numFmtId="0" fontId="4" fillId="11" borderId="61" xfId="0" applyFont="1" applyFill="1" applyBorder="1" applyAlignment="1">
      <alignment horizontal="left"/>
    </xf>
    <xf numFmtId="0" fontId="4" fillId="11" borderId="61" xfId="0" applyFont="1" applyFill="1" applyBorder="1" applyAlignment="1">
      <alignment horizontal="center" vertical="center" wrapText="1"/>
    </xf>
    <xf numFmtId="166" fontId="4" fillId="11" borderId="61" xfId="0" applyNumberFormat="1" applyFont="1" applyFill="1" applyBorder="1"/>
    <xf numFmtId="0" fontId="4" fillId="11" borderId="0" xfId="0" applyFont="1" applyFill="1" applyAlignment="1">
      <alignment wrapText="1"/>
    </xf>
    <xf numFmtId="0" fontId="4" fillId="11" borderId="0" xfId="0" applyFont="1" applyFill="1" applyAlignment="1">
      <alignment horizontal="center"/>
    </xf>
    <xf numFmtId="0" fontId="19" fillId="11" borderId="0" xfId="0" applyFont="1" applyFill="1" applyAlignment="1">
      <alignment horizontal="center"/>
    </xf>
    <xf numFmtId="0" fontId="28" fillId="11" borderId="0" xfId="0" applyFont="1" applyFill="1" applyAlignment="1">
      <alignment horizontal="center"/>
    </xf>
    <xf numFmtId="0" fontId="4" fillId="11" borderId="0" xfId="0" applyFont="1" applyFill="1"/>
    <xf numFmtId="0" fontId="4" fillId="11" borderId="0" xfId="0" applyFont="1" applyFill="1" applyAlignment="1">
      <alignment horizontal="right"/>
    </xf>
    <xf numFmtId="0" fontId="4" fillId="11" borderId="61" xfId="0" applyFont="1" applyFill="1" applyBorder="1" applyAlignment="1">
      <alignment horizontal="left" wrapText="1"/>
    </xf>
    <xf numFmtId="0" fontId="4" fillId="11" borderId="61" xfId="0" applyFont="1" applyFill="1" applyBorder="1" applyAlignment="1">
      <alignment horizontal="center" wrapText="1"/>
    </xf>
    <xf numFmtId="0" fontId="4" fillId="11" borderId="61" xfId="0" applyFont="1" applyFill="1" applyBorder="1" applyAlignment="1">
      <alignment horizontal="right" wrapText="1"/>
    </xf>
    <xf numFmtId="0" fontId="4" fillId="11" borderId="61" xfId="0" applyFont="1" applyFill="1" applyBorder="1" applyAlignment="1">
      <alignment vertical="center"/>
    </xf>
    <xf numFmtId="0" fontId="4" fillId="11" borderId="61" xfId="0" applyFont="1" applyFill="1" applyBorder="1" applyAlignment="1">
      <alignment vertical="center" wrapText="1"/>
    </xf>
    <xf numFmtId="10" fontId="4" fillId="11" borderId="61" xfId="1" applyNumberFormat="1" applyFont="1" applyFill="1" applyBorder="1" applyAlignment="1">
      <alignment horizontal="center" vertical="center" wrapText="1"/>
    </xf>
    <xf numFmtId="10" fontId="4" fillId="11" borderId="61" xfId="1" applyNumberFormat="1" applyFont="1" applyFill="1" applyBorder="1" applyAlignment="1">
      <alignment horizontal="right" vertical="center" wrapText="1"/>
    </xf>
    <xf numFmtId="0" fontId="4" fillId="11" borderId="61" xfId="0" applyFont="1" applyFill="1" applyBorder="1" applyAlignment="1">
      <alignment horizontal="right" vertical="center" wrapText="1"/>
    </xf>
    <xf numFmtId="0" fontId="3" fillId="29" borderId="150" xfId="0" applyFont="1" applyFill="1" applyBorder="1" applyAlignment="1">
      <alignment horizontal="center" vertical="center" wrapText="1"/>
    </xf>
    <xf numFmtId="165" fontId="2" fillId="0" borderId="69" xfId="0" applyNumberFormat="1" applyFont="1" applyBorder="1" applyAlignment="1">
      <alignment wrapText="1"/>
    </xf>
    <xf numFmtId="41" fontId="2" fillId="0" borderId="68" xfId="0" applyNumberFormat="1" applyFont="1" applyBorder="1" applyAlignment="1">
      <alignment wrapText="1"/>
    </xf>
    <xf numFmtId="165" fontId="4" fillId="11" borderId="61" xfId="0" applyNumberFormat="1" applyFont="1" applyFill="1" applyBorder="1" applyAlignment="1">
      <alignment horizontal="center" wrapText="1"/>
    </xf>
    <xf numFmtId="41" fontId="4" fillId="11" borderId="61" xfId="0" applyNumberFormat="1" applyFont="1" applyFill="1" applyBorder="1" applyAlignment="1">
      <alignment horizontal="center" wrapText="1"/>
    </xf>
    <xf numFmtId="166" fontId="4" fillId="11" borderId="61" xfId="0" applyNumberFormat="1" applyFont="1" applyFill="1" applyBorder="1" applyAlignment="1">
      <alignment horizontal="center" wrapText="1"/>
    </xf>
    <xf numFmtId="10" fontId="4" fillId="11" borderId="61" xfId="0" applyNumberFormat="1" applyFont="1" applyFill="1" applyBorder="1" applyAlignment="1">
      <alignment horizontal="center" wrapText="1"/>
    </xf>
    <xf numFmtId="8" fontId="4" fillId="11" borderId="61" xfId="0" applyNumberFormat="1" applyFont="1" applyFill="1" applyBorder="1" applyAlignment="1">
      <alignment horizontal="center" wrapText="1"/>
    </xf>
    <xf numFmtId="173" fontId="4" fillId="11" borderId="61" xfId="0" applyNumberFormat="1" applyFont="1" applyFill="1" applyBorder="1" applyAlignment="1">
      <alignment horizontal="center" wrapText="1"/>
    </xf>
    <xf numFmtId="0" fontId="7" fillId="11" borderId="0" xfId="0" applyFont="1" applyFill="1"/>
    <xf numFmtId="0" fontId="2" fillId="0" borderId="72" xfId="0" applyFont="1" applyBorder="1"/>
    <xf numFmtId="0" fontId="2" fillId="11" borderId="0" xfId="0" applyFont="1" applyFill="1" applyBorder="1" applyAlignment="1">
      <alignment horizontal="center"/>
    </xf>
    <xf numFmtId="166" fontId="7" fillId="11" borderId="0" xfId="0" applyNumberFormat="1" applyFont="1" applyFill="1" applyBorder="1"/>
    <xf numFmtId="0" fontId="7" fillId="11" borderId="0" xfId="0" applyNumberFormat="1" applyFont="1" applyFill="1" applyBorder="1"/>
    <xf numFmtId="164" fontId="7" fillId="11" borderId="0" xfId="0" applyNumberFormat="1" applyFont="1" applyFill="1" applyBorder="1"/>
    <xf numFmtId="0" fontId="7" fillId="11" borderId="0" xfId="0" applyFont="1" applyFill="1" applyBorder="1"/>
    <xf numFmtId="0" fontId="7" fillId="11" borderId="61" xfId="0" applyFont="1" applyFill="1" applyBorder="1" applyAlignment="1">
      <alignment horizontal="center" vertical="center" wrapText="1"/>
    </xf>
    <xf numFmtId="0" fontId="7" fillId="11" borderId="0" xfId="0" applyFont="1" applyFill="1" applyAlignment="1">
      <alignment horizontal="left" vertical="center"/>
    </xf>
    <xf numFmtId="0" fontId="7" fillId="11" borderId="0" xfId="0" applyFont="1" applyFill="1" applyAlignment="1">
      <alignment horizontal="left" vertical="center" wrapText="1"/>
    </xf>
    <xf numFmtId="0" fontId="7" fillId="11" borderId="0" xfId="0" applyFont="1" applyFill="1" applyAlignment="1">
      <alignment horizontal="right" vertical="center" wrapText="1"/>
    </xf>
    <xf numFmtId="0" fontId="7" fillId="11" borderId="0" xfId="0" applyFont="1" applyFill="1" applyAlignment="1">
      <alignment vertical="center" wrapText="1"/>
    </xf>
    <xf numFmtId="0" fontId="19" fillId="11" borderId="61" xfId="0" applyFont="1" applyFill="1" applyBorder="1" applyAlignment="1">
      <alignment horizontal="center" vertical="center" wrapText="1"/>
    </xf>
    <xf numFmtId="4" fontId="19" fillId="11" borderId="0" xfId="0" applyNumberFormat="1" applyFont="1" applyFill="1"/>
    <xf numFmtId="0" fontId="19" fillId="11" borderId="61" xfId="0" applyFont="1" applyFill="1" applyBorder="1"/>
    <xf numFmtId="4" fontId="28" fillId="11" borderId="61" xfId="0" applyNumberFormat="1" applyFont="1" applyFill="1" applyBorder="1"/>
    <xf numFmtId="0" fontId="19" fillId="11" borderId="0" xfId="0" applyFont="1" applyFill="1" applyAlignment="1">
      <alignment horizontal="center" wrapText="1"/>
    </xf>
    <xf numFmtId="4" fontId="19" fillId="11" borderId="0" xfId="0" applyNumberFormat="1" applyFont="1" applyFill="1" applyAlignment="1">
      <alignment horizontal="center"/>
    </xf>
    <xf numFmtId="0" fontId="7" fillId="11" borderId="0" xfId="0" applyFont="1" applyFill="1" applyAlignment="1">
      <alignment horizontal="center" vertical="center"/>
    </xf>
    <xf numFmtId="0" fontId="7" fillId="11" borderId="0" xfId="0" applyFont="1" applyFill="1" applyAlignment="1">
      <alignment horizontal="center" vertical="center" wrapText="1"/>
    </xf>
    <xf numFmtId="0" fontId="4" fillId="11" borderId="0" xfId="0" applyFont="1" applyFill="1" applyAlignment="1">
      <alignment horizontal="center" wrapText="1"/>
    </xf>
    <xf numFmtId="0" fontId="7" fillId="11" borderId="0" xfId="0" applyFont="1" applyFill="1" applyAlignment="1">
      <alignment horizontal="center"/>
    </xf>
    <xf numFmtId="0" fontId="19" fillId="11" borderId="61" xfId="0" applyFont="1" applyFill="1" applyBorder="1" applyAlignment="1">
      <alignment horizontal="center" wrapText="1"/>
    </xf>
    <xf numFmtId="2" fontId="4" fillId="11" borderId="61" xfId="0" applyNumberFormat="1" applyFont="1" applyFill="1" applyBorder="1" applyAlignment="1">
      <alignment horizontal="center" vertical="center" wrapText="1"/>
    </xf>
    <xf numFmtId="2" fontId="19" fillId="11" borderId="61" xfId="0" applyNumberFormat="1" applyFont="1" applyFill="1" applyBorder="1" applyAlignment="1">
      <alignment horizontal="center" wrapText="1"/>
    </xf>
    <xf numFmtId="4" fontId="28" fillId="11" borderId="61" xfId="0" applyNumberFormat="1" applyFont="1" applyFill="1" applyBorder="1" applyAlignment="1">
      <alignment horizontal="center" wrapText="1"/>
    </xf>
    <xf numFmtId="0" fontId="19" fillId="11" borderId="82" xfId="0" applyFont="1" applyFill="1" applyBorder="1" applyAlignment="1">
      <alignment horizontal="center"/>
    </xf>
    <xf numFmtId="0" fontId="4" fillId="11" borderId="83" xfId="0" applyFont="1" applyFill="1" applyBorder="1" applyAlignment="1">
      <alignment horizontal="center" vertical="center"/>
    </xf>
    <xf numFmtId="0" fontId="4" fillId="11" borderId="140" xfId="0" applyFont="1" applyFill="1" applyBorder="1" applyAlignment="1">
      <alignment horizontal="center" vertical="center" wrapText="1"/>
    </xf>
    <xf numFmtId="2" fontId="4" fillId="11" borderId="140" xfId="0" applyNumberFormat="1" applyFont="1" applyFill="1" applyBorder="1" applyAlignment="1">
      <alignment horizontal="center" vertical="center" wrapText="1"/>
    </xf>
    <xf numFmtId="10" fontId="4" fillId="11" borderId="140" xfId="1" applyNumberFormat="1" applyFont="1" applyFill="1" applyBorder="1" applyAlignment="1">
      <alignment horizontal="center" vertical="center" wrapText="1"/>
    </xf>
    <xf numFmtId="2" fontId="19" fillId="11" borderId="140" xfId="0" applyNumberFormat="1" applyFont="1" applyFill="1" applyBorder="1" applyAlignment="1">
      <alignment horizontal="center"/>
    </xf>
    <xf numFmtId="0" fontId="4" fillId="11" borderId="139" xfId="0" applyFont="1" applyFill="1" applyBorder="1" applyAlignment="1">
      <alignment horizontal="center" vertical="center" wrapText="1"/>
    </xf>
    <xf numFmtId="2" fontId="4" fillId="11" borderId="139" xfId="0" applyNumberFormat="1" applyFont="1" applyFill="1" applyBorder="1" applyAlignment="1">
      <alignment horizontal="center" vertical="center" wrapText="1"/>
    </xf>
    <xf numFmtId="10" fontId="4" fillId="11" borderId="139" xfId="1" applyNumberFormat="1" applyFont="1" applyFill="1" applyBorder="1" applyAlignment="1">
      <alignment horizontal="center" vertical="center" wrapText="1"/>
    </xf>
    <xf numFmtId="10" fontId="4" fillId="11" borderId="141" xfId="1" applyNumberFormat="1" applyFont="1" applyFill="1" applyBorder="1" applyAlignment="1">
      <alignment horizontal="center" vertical="center" wrapText="1"/>
    </xf>
    <xf numFmtId="2" fontId="19" fillId="11" borderId="0" xfId="0" applyNumberFormat="1" applyFont="1" applyFill="1" applyAlignment="1">
      <alignment horizontal="center"/>
    </xf>
    <xf numFmtId="4" fontId="28" fillId="11" borderId="61" xfId="0" applyNumberFormat="1" applyFont="1" applyFill="1" applyBorder="1" applyAlignment="1">
      <alignment horizontal="center"/>
    </xf>
    <xf numFmtId="0" fontId="19" fillId="11" borderId="100" xfId="0" applyFont="1" applyFill="1" applyBorder="1" applyAlignment="1">
      <alignment horizontal="center"/>
    </xf>
    <xf numFmtId="0" fontId="4" fillId="11" borderId="103" xfId="0" applyFont="1" applyFill="1" applyBorder="1" applyAlignment="1">
      <alignment horizontal="center" vertical="center"/>
    </xf>
    <xf numFmtId="10" fontId="4" fillId="11" borderId="151" xfId="1" applyNumberFormat="1" applyFont="1" applyFill="1" applyBorder="1" applyAlignment="1">
      <alignment horizontal="center" vertical="center" wrapText="1"/>
    </xf>
    <xf numFmtId="0" fontId="19" fillId="11" borderId="61" xfId="0" applyFont="1" applyFill="1" applyBorder="1" applyAlignment="1">
      <alignment horizontal="center"/>
    </xf>
    <xf numFmtId="0" fontId="4" fillId="11" borderId="61" xfId="0" applyFont="1" applyFill="1" applyBorder="1" applyAlignment="1">
      <alignment horizontal="center" vertical="center"/>
    </xf>
    <xf numFmtId="2" fontId="19" fillId="11" borderId="61" xfId="0" applyNumberFormat="1" applyFont="1" applyFill="1" applyBorder="1" applyAlignment="1">
      <alignment horizontal="center"/>
    </xf>
    <xf numFmtId="0" fontId="28" fillId="11" borderId="0" xfId="0" applyFont="1" applyFill="1" applyAlignment="1">
      <alignment horizontal="center" vertical="center" wrapText="1"/>
    </xf>
    <xf numFmtId="4" fontId="28" fillId="11" borderId="61" xfId="0" applyNumberFormat="1" applyFont="1" applyFill="1" applyBorder="1" applyAlignment="1">
      <alignment horizontal="center" vertical="center"/>
    </xf>
    <xf numFmtId="0" fontId="19" fillId="11" borderId="0" xfId="0" applyFont="1" applyFill="1" applyAlignment="1">
      <alignment horizontal="center" vertical="center" wrapText="1"/>
    </xf>
    <xf numFmtId="0" fontId="19" fillId="11" borderId="0" xfId="0" applyFont="1" applyFill="1" applyAlignment="1">
      <alignment horizontal="center" vertical="center"/>
    </xf>
    <xf numFmtId="0" fontId="28" fillId="11" borderId="61" xfId="0" applyFont="1" applyFill="1" applyBorder="1" applyAlignment="1">
      <alignment horizontal="center" vertical="center" wrapText="1"/>
    </xf>
    <xf numFmtId="0" fontId="19" fillId="11" borderId="61" xfId="0" applyFont="1" applyFill="1" applyBorder="1" applyAlignment="1">
      <alignment horizontal="center" vertical="center"/>
    </xf>
    <xf numFmtId="2" fontId="19" fillId="11" borderId="61" xfId="0" applyNumberFormat="1" applyFont="1" applyFill="1" applyBorder="1" applyAlignment="1">
      <alignment horizontal="center" vertical="center"/>
    </xf>
    <xf numFmtId="4" fontId="19" fillId="11" borderId="0" xfId="0" applyNumberFormat="1" applyFont="1" applyFill="1" applyAlignment="1">
      <alignment horizontal="center" vertical="center"/>
    </xf>
    <xf numFmtId="0" fontId="19" fillId="11" borderId="0" xfId="1" applyNumberFormat="1" applyFont="1" applyFill="1" applyAlignment="1">
      <alignment horizontal="center" vertical="center"/>
    </xf>
    <xf numFmtId="4" fontId="19" fillId="11" borderId="61" xfId="0" applyNumberFormat="1" applyFont="1" applyFill="1" applyBorder="1" applyAlignment="1">
      <alignment horizontal="center" vertical="center"/>
    </xf>
    <xf numFmtId="9" fontId="19" fillId="11" borderId="61" xfId="0" applyNumberFormat="1" applyFont="1" applyFill="1" applyBorder="1"/>
    <xf numFmtId="9" fontId="19" fillId="11" borderId="0" xfId="0" applyNumberFormat="1" applyFont="1" applyFill="1"/>
    <xf numFmtId="0" fontId="19" fillId="11" borderId="133" xfId="0" applyFont="1" applyFill="1" applyBorder="1"/>
    <xf numFmtId="4" fontId="19" fillId="11" borderId="133" xfId="0" applyNumberFormat="1" applyFont="1" applyFill="1" applyBorder="1"/>
    <xf numFmtId="4" fontId="19" fillId="11" borderId="132" xfId="0" applyNumberFormat="1" applyFont="1" applyFill="1" applyBorder="1"/>
    <xf numFmtId="0" fontId="19" fillId="11" borderId="132" xfId="0" applyFont="1" applyFill="1" applyBorder="1"/>
    <xf numFmtId="0" fontId="28" fillId="11" borderId="0" xfId="0" applyFont="1" applyFill="1" applyAlignment="1">
      <alignment horizontal="right"/>
    </xf>
    <xf numFmtId="0" fontId="19" fillId="11" borderId="0" xfId="0" applyFont="1" applyFill="1" applyAlignment="1">
      <alignment horizontal="left"/>
    </xf>
    <xf numFmtId="0" fontId="28" fillId="11" borderId="8" xfId="3" applyFont="1" applyFill="1" applyBorder="1" applyAlignment="1">
      <alignment horizontal="center" vertical="center" wrapText="1"/>
    </xf>
    <xf numFmtId="0" fontId="19" fillId="11" borderId="8" xfId="3" applyFont="1" applyFill="1" applyBorder="1" applyAlignment="1">
      <alignment horizontal="left" vertical="center" wrapText="1"/>
    </xf>
    <xf numFmtId="0" fontId="28" fillId="11" borderId="143" xfId="3" applyFont="1" applyFill="1" applyBorder="1" applyAlignment="1">
      <alignment horizontal="center" vertical="center" wrapText="1"/>
    </xf>
    <xf numFmtId="0" fontId="19" fillId="11" borderId="143" xfId="3" applyFont="1" applyFill="1" applyBorder="1" applyAlignment="1">
      <alignment horizontal="left" vertical="center" wrapText="1"/>
    </xf>
    <xf numFmtId="0" fontId="19" fillId="11" borderId="144" xfId="3" applyFont="1" applyFill="1" applyBorder="1" applyAlignment="1">
      <alignment vertical="center" wrapText="1"/>
    </xf>
    <xf numFmtId="0" fontId="19" fillId="11" borderId="145" xfId="0" applyFont="1" applyFill="1" applyBorder="1"/>
    <xf numFmtId="0" fontId="28" fillId="11" borderId="0" xfId="0" applyFont="1" applyFill="1" applyAlignment="1">
      <alignment horizontal="left"/>
    </xf>
    <xf numFmtId="0" fontId="30" fillId="11" borderId="0" xfId="0" applyFont="1" applyFill="1" applyAlignment="1">
      <alignment horizontal="left"/>
    </xf>
    <xf numFmtId="169" fontId="28" fillId="11" borderId="61" xfId="0" applyNumberFormat="1" applyFont="1" applyFill="1" applyBorder="1"/>
    <xf numFmtId="0" fontId="28" fillId="11" borderId="61" xfId="0" applyFont="1" applyFill="1" applyBorder="1"/>
    <xf numFmtId="0" fontId="2" fillId="0" borderId="79" xfId="0" applyFont="1" applyBorder="1" applyAlignment="1">
      <alignment horizontal="center" vertical="center" wrapText="1"/>
    </xf>
    <xf numFmtId="0" fontId="2" fillId="19" borderId="91" xfId="0" applyFont="1" applyFill="1" applyBorder="1" applyAlignment="1">
      <alignment horizontal="left" vertical="center" wrapText="1"/>
    </xf>
    <xf numFmtId="0" fontId="31" fillId="11" borderId="0" xfId="0" applyFont="1" applyFill="1"/>
    <xf numFmtId="0" fontId="31" fillId="11" borderId="26" xfId="0" applyFont="1" applyFill="1" applyBorder="1"/>
    <xf numFmtId="0" fontId="31" fillId="11" borderId="27" xfId="0" applyFont="1" applyFill="1" applyBorder="1"/>
    <xf numFmtId="0" fontId="31" fillId="11" borderId="28" xfId="0" applyFont="1" applyFill="1" applyBorder="1"/>
    <xf numFmtId="0" fontId="31" fillId="11" borderId="29" xfId="0" applyFont="1" applyFill="1" applyBorder="1"/>
    <xf numFmtId="0" fontId="31" fillId="11" borderId="0" xfId="0" applyFont="1" applyFill="1" applyBorder="1"/>
    <xf numFmtId="0" fontId="31" fillId="11" borderId="30" xfId="0" applyFont="1" applyFill="1" applyBorder="1"/>
    <xf numFmtId="0" fontId="31" fillId="11" borderId="31" xfId="0" applyFont="1" applyFill="1" applyBorder="1"/>
    <xf numFmtId="0" fontId="31" fillId="11" borderId="32" xfId="0" applyFont="1" applyFill="1" applyBorder="1"/>
    <xf numFmtId="0" fontId="31" fillId="11" borderId="33" xfId="0" applyFont="1" applyFill="1" applyBorder="1"/>
    <xf numFmtId="0" fontId="32" fillId="11" borderId="0" xfId="0" applyFont="1" applyFill="1" applyBorder="1"/>
    <xf numFmtId="0" fontId="33" fillId="11" borderId="0" xfId="0" applyFont="1" applyFill="1" applyBorder="1"/>
    <xf numFmtId="0" fontId="31" fillId="11" borderId="37" xfId="0" applyFont="1" applyFill="1" applyBorder="1"/>
    <xf numFmtId="0" fontId="34" fillId="11" borderId="37" xfId="0" applyFont="1" applyFill="1" applyBorder="1" applyAlignment="1">
      <alignment horizontal="right"/>
    </xf>
    <xf numFmtId="0" fontId="32" fillId="11" borderId="37" xfId="0" applyFont="1" applyFill="1" applyBorder="1" applyAlignment="1">
      <alignment horizontal="right"/>
    </xf>
    <xf numFmtId="0" fontId="36" fillId="11" borderId="0" xfId="0" applyFont="1" applyFill="1" applyBorder="1"/>
    <xf numFmtId="0" fontId="37" fillId="11" borderId="0" xfId="0" applyFont="1" applyFill="1" applyBorder="1"/>
    <xf numFmtId="0" fontId="38" fillId="11" borderId="0" xfId="0" applyFont="1" applyFill="1" applyBorder="1"/>
    <xf numFmtId="0" fontId="38" fillId="11" borderId="0" xfId="0" applyFont="1" applyFill="1"/>
    <xf numFmtId="0" fontId="39" fillId="11" borderId="0" xfId="0" applyFont="1" applyFill="1" applyBorder="1"/>
    <xf numFmtId="44" fontId="2" fillId="0" borderId="152" xfId="20" applyFont="1" applyBorder="1" applyAlignment="1">
      <alignment vertical="center"/>
    </xf>
    <xf numFmtId="44" fontId="2" fillId="0" borderId="153" xfId="20" applyFont="1" applyFill="1" applyBorder="1" applyAlignment="1">
      <alignment vertical="center"/>
    </xf>
    <xf numFmtId="0" fontId="2" fillId="19" borderId="154" xfId="0" applyFont="1" applyFill="1" applyBorder="1" applyAlignment="1">
      <alignment horizontal="left" vertical="center" wrapText="1"/>
    </xf>
    <xf numFmtId="165" fontId="2" fillId="17" borderId="58" xfId="1" applyNumberFormat="1" applyFont="1" applyFill="1" applyBorder="1" applyAlignment="1">
      <alignment vertical="center" wrapText="1"/>
    </xf>
    <xf numFmtId="0" fontId="6" fillId="11" borderId="0" xfId="0" applyFont="1" applyFill="1" applyAlignment="1">
      <alignment horizontal="center" vertical="center"/>
    </xf>
    <xf numFmtId="0" fontId="40" fillId="11" borderId="0" xfId="0" applyFont="1" applyFill="1" applyAlignment="1">
      <alignment horizontal="center" vertical="center"/>
    </xf>
    <xf numFmtId="0" fontId="5" fillId="39" borderId="61" xfId="0" applyFont="1" applyFill="1" applyBorder="1" applyAlignment="1">
      <alignment vertical="center" wrapText="1"/>
    </xf>
    <xf numFmtId="0" fontId="6" fillId="11" borderId="61" xfId="0" applyFont="1" applyFill="1" applyBorder="1" applyAlignment="1">
      <alignment vertical="center" wrapText="1"/>
    </xf>
    <xf numFmtId="0" fontId="2" fillId="11" borderId="61" xfId="0" applyFont="1" applyFill="1" applyBorder="1" applyAlignment="1">
      <alignment horizontal="right" vertical="center" wrapText="1"/>
    </xf>
    <xf numFmtId="0" fontId="6" fillId="40" borderId="61" xfId="0" applyFont="1" applyFill="1" applyBorder="1" applyAlignment="1">
      <alignment vertical="center" wrapText="1"/>
    </xf>
    <xf numFmtId="10" fontId="41" fillId="0" borderId="41" xfId="1" applyNumberFormat="1" applyFont="1" applyFill="1" applyBorder="1" applyAlignment="1">
      <alignment horizontal="left" vertical="center" wrapText="1"/>
    </xf>
    <xf numFmtId="10" fontId="41" fillId="0" borderId="160" xfId="1" applyNumberFormat="1" applyFont="1" applyFill="1" applyBorder="1" applyAlignment="1">
      <alignment horizontal="left" vertical="center" wrapText="1"/>
    </xf>
    <xf numFmtId="0" fontId="41" fillId="0" borderId="42" xfId="0" applyFont="1" applyFill="1" applyBorder="1" applyAlignment="1">
      <alignment horizontal="left" vertical="center" wrapText="1"/>
    </xf>
    <xf numFmtId="0" fontId="41" fillId="8" borderId="40" xfId="0" applyFont="1" applyFill="1" applyBorder="1" applyAlignment="1">
      <alignment vertical="center" wrapText="1"/>
    </xf>
    <xf numFmtId="0" fontId="42" fillId="0" borderId="0" xfId="0" applyFont="1"/>
    <xf numFmtId="173" fontId="42" fillId="0" borderId="0" xfId="2" applyNumberFormat="1" applyFont="1"/>
    <xf numFmtId="1" fontId="42" fillId="0" borderId="0" xfId="0" applyNumberFormat="1" applyFont="1" applyAlignment="1">
      <alignment horizontal="center"/>
    </xf>
    <xf numFmtId="1" fontId="42" fillId="0" borderId="61" xfId="0" applyNumberFormat="1" applyFont="1" applyBorder="1" applyAlignment="1">
      <alignment horizontal="left"/>
    </xf>
    <xf numFmtId="1" fontId="42" fillId="0" borderId="61" xfId="2" applyNumberFormat="1" applyFont="1" applyBorder="1" applyAlignment="1">
      <alignment horizontal="center"/>
    </xf>
    <xf numFmtId="10" fontId="42" fillId="0" borderId="61" xfId="0" applyNumberFormat="1" applyFont="1" applyBorder="1"/>
    <xf numFmtId="173" fontId="42" fillId="0" borderId="61" xfId="2" applyNumberFormat="1" applyFont="1" applyBorder="1"/>
    <xf numFmtId="0" fontId="42" fillId="0" borderId="61" xfId="0" applyFont="1" applyBorder="1"/>
    <xf numFmtId="173" fontId="42" fillId="0" borderId="61" xfId="2" applyNumberFormat="1" applyFont="1" applyBorder="1" applyAlignment="1">
      <alignment horizontal="center"/>
    </xf>
    <xf numFmtId="1" fontId="42" fillId="0" borderId="61" xfId="0" applyNumberFormat="1" applyFont="1" applyBorder="1" applyAlignment="1">
      <alignment horizontal="center"/>
    </xf>
    <xf numFmtId="173" fontId="42" fillId="0" borderId="61" xfId="0" applyNumberFormat="1" applyFont="1" applyBorder="1"/>
    <xf numFmtId="0" fontId="45" fillId="41" borderId="61" xfId="0" applyFont="1" applyFill="1" applyBorder="1" applyAlignment="1">
      <alignment horizontal="center" vertical="center" wrapText="1"/>
    </xf>
    <xf numFmtId="0" fontId="45" fillId="11" borderId="61" xfId="0" applyFont="1" applyFill="1" applyBorder="1" applyAlignment="1"/>
    <xf numFmtId="0" fontId="45" fillId="11" borderId="61" xfId="0" applyFont="1" applyFill="1" applyBorder="1"/>
    <xf numFmtId="0" fontId="45" fillId="11" borderId="61" xfId="0" applyNumberFormat="1" applyFont="1" applyFill="1" applyBorder="1" applyAlignment="1">
      <alignment horizontal="center"/>
    </xf>
    <xf numFmtId="166" fontId="45" fillId="11" borderId="61" xfId="0" applyNumberFormat="1" applyFont="1" applyFill="1" applyBorder="1"/>
    <xf numFmtId="9" fontId="45" fillId="11" borderId="61" xfId="1" applyFont="1" applyFill="1" applyBorder="1"/>
    <xf numFmtId="166" fontId="45" fillId="11" borderId="61" xfId="0" applyNumberFormat="1" applyFont="1" applyFill="1" applyBorder="1" applyAlignment="1"/>
    <xf numFmtId="10" fontId="45" fillId="11" borderId="61" xfId="0" applyNumberFormat="1" applyFont="1" applyFill="1" applyBorder="1" applyAlignment="1"/>
    <xf numFmtId="166" fontId="45" fillId="11" borderId="61" xfId="0" applyNumberFormat="1" applyFont="1" applyFill="1" applyBorder="1" applyAlignment="1">
      <alignment horizontal="center" vertical="center"/>
    </xf>
    <xf numFmtId="1" fontId="45" fillId="11" borderId="61" xfId="5" applyNumberFormat="1" applyFont="1" applyFill="1" applyBorder="1" applyAlignment="1">
      <alignment horizontal="right" vertical="center" wrapText="1"/>
    </xf>
    <xf numFmtId="0" fontId="45" fillId="11" borderId="61" xfId="5" applyFont="1" applyFill="1" applyBorder="1" applyAlignment="1">
      <alignment horizontal="left" vertical="center" wrapText="1"/>
    </xf>
    <xf numFmtId="0" fontId="45" fillId="11" borderId="61" xfId="5" applyFont="1" applyFill="1" applyBorder="1" applyAlignment="1">
      <alignment vertical="top" wrapText="1"/>
    </xf>
    <xf numFmtId="0" fontId="46" fillId="11" borderId="61" xfId="0" applyFont="1" applyFill="1" applyBorder="1"/>
    <xf numFmtId="0" fontId="45" fillId="11" borderId="61" xfId="0" applyFont="1" applyFill="1" applyBorder="1" applyAlignment="1">
      <alignment horizontal="left"/>
    </xf>
    <xf numFmtId="1" fontId="46" fillId="11" borderId="0" xfId="5" applyNumberFormat="1" applyFont="1" applyFill="1" applyBorder="1" applyAlignment="1">
      <alignment horizontal="right" vertical="center" wrapText="1"/>
    </xf>
    <xf numFmtId="0" fontId="45" fillId="11" borderId="0" xfId="21" applyFont="1" applyFill="1" applyBorder="1" applyAlignment="1">
      <alignment vertical="center"/>
    </xf>
    <xf numFmtId="0" fontId="45" fillId="11" borderId="0" xfId="21" applyFont="1" applyFill="1" applyBorder="1" applyAlignment="1">
      <alignment horizontal="left" wrapText="1"/>
    </xf>
    <xf numFmtId="167" fontId="45" fillId="11" borderId="0" xfId="22" applyNumberFormat="1" applyFont="1" applyFill="1" applyBorder="1" applyAlignment="1">
      <alignment horizontal="right" vertical="center"/>
    </xf>
    <xf numFmtId="167" fontId="45" fillId="11" borderId="0" xfId="22" applyNumberFormat="1" applyFont="1" applyFill="1" applyBorder="1" applyAlignment="1">
      <alignment vertical="center"/>
    </xf>
    <xf numFmtId="167" fontId="45" fillId="11" borderId="0" xfId="0" applyNumberFormat="1" applyFont="1" applyFill="1" applyBorder="1"/>
    <xf numFmtId="0" fontId="42" fillId="11" borderId="0" xfId="0" applyFont="1" applyFill="1"/>
    <xf numFmtId="0" fontId="42" fillId="11" borderId="0" xfId="0" applyFont="1" applyFill="1" applyAlignment="1">
      <alignment horizontal="center" vertical="center"/>
    </xf>
    <xf numFmtId="0" fontId="45" fillId="11" borderId="0" xfId="0" applyFont="1" applyFill="1" applyBorder="1" applyAlignment="1"/>
    <xf numFmtId="0" fontId="45" fillId="11" borderId="0" xfId="0" applyFont="1" applyFill="1" applyBorder="1" applyAlignment="1">
      <alignment wrapText="1"/>
    </xf>
    <xf numFmtId="166" fontId="46" fillId="11" borderId="0" xfId="0" applyNumberFormat="1" applyFont="1" applyFill="1" applyBorder="1" applyAlignment="1">
      <alignment horizontal="center"/>
    </xf>
    <xf numFmtId="166" fontId="46" fillId="11" borderId="0" xfId="0" applyNumberFormat="1" applyFont="1" applyFill="1" applyBorder="1" applyAlignment="1"/>
    <xf numFmtId="166" fontId="47" fillId="11" borderId="0" xfId="0" applyNumberFormat="1" applyFont="1" applyFill="1" applyBorder="1" applyAlignment="1"/>
    <xf numFmtId="0" fontId="45" fillId="11" borderId="0" xfId="0" applyFont="1" applyFill="1" applyBorder="1" applyAlignment="1">
      <alignment horizontal="center"/>
    </xf>
    <xf numFmtId="167" fontId="45" fillId="11" borderId="0" xfId="0" applyNumberFormat="1" applyFont="1" applyFill="1" applyBorder="1" applyAlignment="1"/>
    <xf numFmtId="0" fontId="45" fillId="11" borderId="0" xfId="0" applyFont="1" applyFill="1" applyAlignment="1"/>
    <xf numFmtId="166" fontId="45" fillId="11" borderId="0" xfId="0" applyNumberFormat="1" applyFont="1" applyFill="1" applyBorder="1" applyAlignment="1"/>
    <xf numFmtId="166" fontId="45" fillId="11" borderId="0" xfId="0" applyNumberFormat="1" applyFont="1" applyFill="1" applyBorder="1" applyAlignment="1">
      <alignment horizontal="center" vertical="center"/>
    </xf>
    <xf numFmtId="166" fontId="48" fillId="11" borderId="0" xfId="0" applyNumberFormat="1" applyFont="1" applyFill="1" applyBorder="1" applyAlignment="1"/>
    <xf numFmtId="166" fontId="45" fillId="11" borderId="61" xfId="0" applyNumberFormat="1" applyFont="1" applyFill="1" applyBorder="1" applyAlignment="1">
      <alignment horizontal="center"/>
    </xf>
    <xf numFmtId="166" fontId="46" fillId="11" borderId="75" xfId="0" applyNumberFormat="1" applyFont="1" applyFill="1" applyBorder="1" applyAlignment="1">
      <alignment horizontal="center"/>
    </xf>
    <xf numFmtId="0" fontId="45" fillId="11" borderId="0" xfId="0" applyFont="1" applyFill="1"/>
    <xf numFmtId="0" fontId="42" fillId="11" borderId="0" xfId="0" applyFont="1" applyFill="1" applyAlignment="1">
      <alignment horizontal="center"/>
    </xf>
    <xf numFmtId="0" fontId="46" fillId="11" borderId="0" xfId="0" applyFont="1" applyFill="1"/>
    <xf numFmtId="0" fontId="42" fillId="11" borderId="101" xfId="0" applyFont="1" applyFill="1" applyBorder="1" applyAlignment="1">
      <alignment horizontal="center"/>
    </xf>
    <xf numFmtId="0" fontId="42" fillId="11" borderId="101" xfId="0" applyFont="1" applyFill="1" applyBorder="1" applyAlignment="1"/>
    <xf numFmtId="1" fontId="45" fillId="11" borderId="61" xfId="0" applyNumberFormat="1" applyFont="1" applyFill="1" applyBorder="1" applyAlignment="1">
      <alignment horizontal="right"/>
    </xf>
    <xf numFmtId="0" fontId="42" fillId="11" borderId="137" xfId="0" applyFont="1" applyFill="1" applyBorder="1"/>
    <xf numFmtId="0" fontId="42" fillId="11" borderId="0" xfId="0" applyFont="1" applyFill="1" applyBorder="1"/>
    <xf numFmtId="9" fontId="42" fillId="11" borderId="0" xfId="1" applyFont="1" applyFill="1"/>
    <xf numFmtId="0" fontId="42" fillId="11" borderId="0" xfId="0" applyFont="1" applyFill="1" applyAlignment="1"/>
    <xf numFmtId="9" fontId="45" fillId="11" borderId="0" xfId="1" applyFont="1" applyFill="1" applyBorder="1" applyAlignment="1"/>
    <xf numFmtId="9" fontId="42" fillId="11" borderId="0" xfId="1" applyFont="1" applyFill="1" applyBorder="1" applyAlignment="1"/>
    <xf numFmtId="0" fontId="45" fillId="11" borderId="0" xfId="0" applyFont="1" applyFill="1" applyBorder="1"/>
    <xf numFmtId="44" fontId="45" fillId="11" borderId="0" xfId="20" applyFont="1" applyFill="1" applyBorder="1"/>
    <xf numFmtId="9" fontId="42" fillId="11" borderId="0" xfId="1" applyFont="1" applyFill="1" applyBorder="1"/>
    <xf numFmtId="44" fontId="42" fillId="11" borderId="0" xfId="20" applyFont="1" applyFill="1"/>
    <xf numFmtId="0" fontId="49" fillId="11" borderId="61" xfId="5" applyFont="1" applyFill="1" applyBorder="1" applyAlignment="1">
      <alignment horizontal="center" vertical="center" wrapText="1"/>
    </xf>
    <xf numFmtId="0" fontId="50" fillId="11" borderId="82" xfId="0" applyFont="1" applyFill="1" applyBorder="1"/>
    <xf numFmtId="0" fontId="42" fillId="11" borderId="82" xfId="0" applyFont="1" applyFill="1" applyBorder="1"/>
    <xf numFmtId="0" fontId="42" fillId="11" borderId="83" xfId="0" applyFont="1" applyFill="1" applyBorder="1"/>
    <xf numFmtId="168" fontId="42" fillId="11" borderId="61" xfId="20" applyNumberFormat="1" applyFont="1" applyFill="1" applyBorder="1" applyAlignment="1">
      <alignment horizontal="center"/>
    </xf>
    <xf numFmtId="0" fontId="50" fillId="11" borderId="61" xfId="0" applyFont="1" applyFill="1" applyBorder="1"/>
    <xf numFmtId="167" fontId="42" fillId="11" borderId="0" xfId="0" applyNumberFormat="1" applyFont="1" applyFill="1"/>
    <xf numFmtId="166" fontId="50" fillId="11" borderId="61" xfId="0" applyNumberFormat="1" applyFont="1" applyFill="1" applyBorder="1" applyAlignment="1">
      <alignment horizontal="center"/>
    </xf>
    <xf numFmtId="0" fontId="45" fillId="0" borderId="61" xfId="5" applyFont="1" applyFill="1" applyBorder="1" applyAlignment="1">
      <alignment horizontal="center" vertical="center" wrapText="1"/>
    </xf>
    <xf numFmtId="0" fontId="45" fillId="0" borderId="0" xfId="0" applyFont="1" applyFill="1"/>
    <xf numFmtId="0" fontId="46" fillId="0" borderId="0" xfId="24" applyFont="1" applyFill="1" applyAlignment="1"/>
    <xf numFmtId="0" fontId="45" fillId="0" borderId="0" xfId="24" applyFont="1" applyFill="1" applyBorder="1" applyAlignment="1"/>
    <xf numFmtId="0" fontId="45" fillId="0" borderId="0" xfId="24" applyFont="1" applyFill="1" applyBorder="1" applyAlignment="1">
      <alignment horizontal="center"/>
    </xf>
    <xf numFmtId="0" fontId="45" fillId="0" borderId="0" xfId="24" applyFont="1" applyFill="1"/>
    <xf numFmtId="0" fontId="45" fillId="0" borderId="0" xfId="24" applyFont="1" applyFill="1" applyBorder="1"/>
    <xf numFmtId="8" fontId="45" fillId="0" borderId="0" xfId="24" applyNumberFormat="1" applyFont="1" applyFill="1" applyBorder="1"/>
    <xf numFmtId="0" fontId="46" fillId="0" borderId="0" xfId="0" applyFont="1" applyFill="1"/>
    <xf numFmtId="6" fontId="45" fillId="0" borderId="0" xfId="24" applyNumberFormat="1" applyFont="1" applyFill="1"/>
    <xf numFmtId="0" fontId="46" fillId="0" borderId="0" xfId="24" applyFont="1" applyFill="1"/>
    <xf numFmtId="174" fontId="45" fillId="0" borderId="0" xfId="24" applyNumberFormat="1" applyFont="1" applyFill="1"/>
    <xf numFmtId="0" fontId="46" fillId="0" borderId="0" xfId="24" applyFont="1" applyFill="1" applyBorder="1" applyAlignment="1">
      <alignment horizontal="center"/>
    </xf>
    <xf numFmtId="0" fontId="45" fillId="0" borderId="0" xfId="24" applyFont="1" applyFill="1" applyAlignment="1">
      <alignment horizontal="center" vertical="center" wrapText="1"/>
    </xf>
    <xf numFmtId="0" fontId="45" fillId="0" borderId="0" xfId="24" applyFont="1" applyFill="1" applyBorder="1" applyAlignment="1">
      <alignment horizontal="center" vertical="center" wrapText="1"/>
    </xf>
    <xf numFmtId="3" fontId="45" fillId="0" borderId="0" xfId="24" applyNumberFormat="1" applyFont="1" applyFill="1" applyBorder="1"/>
    <xf numFmtId="0" fontId="45" fillId="0" borderId="61" xfId="24" applyFont="1" applyFill="1" applyBorder="1"/>
    <xf numFmtId="0" fontId="45" fillId="0" borderId="61" xfId="24" applyFont="1" applyFill="1" applyBorder="1" applyAlignment="1">
      <alignment horizontal="right"/>
    </xf>
    <xf numFmtId="1" fontId="45" fillId="0" borderId="61" xfId="24" applyNumberFormat="1" applyFont="1" applyFill="1" applyBorder="1" applyAlignment="1">
      <alignment horizontal="right"/>
    </xf>
    <xf numFmtId="0" fontId="51" fillId="0" borderId="61" xfId="24" applyFont="1" applyFill="1" applyBorder="1"/>
    <xf numFmtId="3" fontId="45" fillId="0" borderId="61" xfId="24" applyNumberFormat="1" applyFont="1" applyFill="1" applyBorder="1"/>
    <xf numFmtId="38" fontId="45" fillId="0" borderId="61" xfId="24" applyNumberFormat="1" applyFont="1" applyFill="1" applyBorder="1"/>
    <xf numFmtId="0" fontId="45" fillId="0" borderId="61" xfId="24" applyFont="1" applyFill="1" applyBorder="1" applyAlignment="1">
      <alignment horizontal="center" vertical="center" wrapText="1"/>
    </xf>
    <xf numFmtId="174" fontId="45" fillId="0" borderId="61" xfId="24" applyNumberFormat="1" applyFont="1" applyFill="1" applyBorder="1" applyAlignment="1">
      <alignment horizontal="center" vertical="center" wrapText="1"/>
    </xf>
    <xf numFmtId="0" fontId="45" fillId="0" borderId="61" xfId="24" applyFont="1" applyFill="1" applyBorder="1" applyAlignment="1">
      <alignment horizontal="center"/>
    </xf>
    <xf numFmtId="166" fontId="45" fillId="0" borderId="61" xfId="24" applyNumberFormat="1" applyFont="1" applyFill="1" applyBorder="1" applyAlignment="1">
      <alignment horizontal="center"/>
    </xf>
    <xf numFmtId="173" fontId="45" fillId="0" borderId="0" xfId="2" applyNumberFormat="1" applyFont="1" applyFill="1"/>
    <xf numFmtId="10" fontId="45" fillId="0" borderId="61" xfId="0" applyNumberFormat="1" applyFont="1" applyFill="1" applyBorder="1"/>
    <xf numFmtId="0" fontId="45" fillId="0" borderId="61" xfId="0" applyFont="1" applyFill="1" applyBorder="1"/>
    <xf numFmtId="0" fontId="4" fillId="0" borderId="61" xfId="0" applyFont="1" applyFill="1" applyBorder="1" applyAlignment="1">
      <alignment vertical="center"/>
    </xf>
    <xf numFmtId="0" fontId="4" fillId="0" borderId="61" xfId="0" applyFont="1" applyFill="1" applyBorder="1" applyAlignment="1">
      <alignment vertical="center" wrapText="1"/>
    </xf>
    <xf numFmtId="10" fontId="4" fillId="0" borderId="61" xfId="1" applyNumberFormat="1" applyFont="1" applyFill="1" applyBorder="1" applyAlignment="1">
      <alignment vertical="center" wrapText="1"/>
    </xf>
    <xf numFmtId="165" fontId="4" fillId="0" borderId="61" xfId="1" applyNumberFormat="1" applyFont="1" applyFill="1" applyBorder="1" applyAlignment="1">
      <alignment vertical="center" wrapText="1"/>
    </xf>
    <xf numFmtId="2" fontId="4" fillId="0" borderId="61" xfId="1" applyNumberFormat="1" applyFont="1" applyFill="1" applyBorder="1" applyAlignment="1">
      <alignment vertical="center" wrapText="1"/>
    </xf>
    <xf numFmtId="0" fontId="4" fillId="0" borderId="61" xfId="1" applyNumberFormat="1" applyFont="1" applyFill="1" applyBorder="1" applyAlignment="1">
      <alignment vertical="center" wrapText="1"/>
    </xf>
    <xf numFmtId="0" fontId="45" fillId="0" borderId="164" xfId="0" applyFont="1" applyFill="1" applyBorder="1"/>
    <xf numFmtId="173" fontId="45" fillId="0" borderId="166" xfId="2" applyNumberFormat="1" applyFont="1" applyFill="1" applyBorder="1"/>
    <xf numFmtId="0" fontId="45" fillId="0" borderId="167" xfId="0" applyFont="1" applyFill="1" applyBorder="1"/>
    <xf numFmtId="0" fontId="45" fillId="0" borderId="0" xfId="0" applyFont="1" applyFill="1" applyBorder="1" applyAlignment="1">
      <alignment horizontal="center"/>
    </xf>
    <xf numFmtId="173" fontId="45" fillId="0" borderId="168" xfId="2" applyNumberFormat="1" applyFont="1" applyFill="1" applyBorder="1"/>
    <xf numFmtId="0" fontId="45" fillId="0" borderId="0" xfId="0" applyFont="1" applyFill="1" applyBorder="1"/>
    <xf numFmtId="173" fontId="45" fillId="0" borderId="0" xfId="2" applyNumberFormat="1" applyFont="1" applyFill="1" applyBorder="1"/>
    <xf numFmtId="0" fontId="45" fillId="0" borderId="169" xfId="0" applyFont="1" applyFill="1" applyBorder="1"/>
    <xf numFmtId="0" fontId="45" fillId="0" borderId="170" xfId="0" applyFont="1" applyFill="1" applyBorder="1"/>
    <xf numFmtId="173" fontId="45" fillId="0" borderId="170" xfId="2" applyNumberFormat="1" applyFont="1" applyFill="1" applyBorder="1"/>
    <xf numFmtId="173" fontId="45" fillId="0" borderId="171" xfId="2" applyNumberFormat="1" applyFont="1" applyFill="1" applyBorder="1"/>
    <xf numFmtId="173" fontId="45" fillId="0" borderId="164" xfId="2" applyNumberFormat="1" applyFont="1" applyFill="1" applyBorder="1"/>
    <xf numFmtId="173" fontId="45" fillId="0" borderId="167" xfId="2" applyNumberFormat="1" applyFont="1" applyFill="1" applyBorder="1"/>
    <xf numFmtId="173" fontId="45" fillId="0" borderId="169" xfId="2" applyNumberFormat="1" applyFont="1" applyFill="1" applyBorder="1"/>
    <xf numFmtId="165" fontId="45" fillId="0" borderId="61" xfId="2" applyNumberFormat="1" applyFont="1" applyFill="1" applyBorder="1"/>
    <xf numFmtId="165" fontId="45" fillId="0" borderId="61" xfId="0" applyNumberFormat="1" applyFont="1" applyFill="1" applyBorder="1"/>
    <xf numFmtId="0" fontId="45" fillId="0" borderId="172" xfId="0" applyFont="1" applyFill="1" applyBorder="1"/>
    <xf numFmtId="173" fontId="45" fillId="0" borderId="172" xfId="2" applyNumberFormat="1" applyFont="1" applyFill="1" applyBorder="1"/>
    <xf numFmtId="0" fontId="45" fillId="0" borderId="165" xfId="0" applyFont="1" applyFill="1" applyBorder="1"/>
    <xf numFmtId="173" fontId="45" fillId="0" borderId="165" xfId="2" applyNumberFormat="1" applyFont="1" applyFill="1" applyBorder="1"/>
    <xf numFmtId="0" fontId="45" fillId="11" borderId="0" xfId="0" applyFont="1" applyFill="1" applyAlignment="1">
      <alignment vertical="center"/>
    </xf>
    <xf numFmtId="1" fontId="45" fillId="11" borderId="0" xfId="0" applyNumberFormat="1" applyFont="1" applyFill="1" applyAlignment="1">
      <alignment vertical="center"/>
    </xf>
    <xf numFmtId="0" fontId="45" fillId="11" borderId="0" xfId="0" applyFont="1" applyFill="1" applyAlignment="1">
      <alignment vertical="center" wrapText="1"/>
    </xf>
    <xf numFmtId="0" fontId="45" fillId="11" borderId="61" xfId="0" applyFont="1" applyFill="1" applyBorder="1" applyAlignment="1">
      <alignment horizontal="center" vertical="center"/>
    </xf>
    <xf numFmtId="0" fontId="45" fillId="11" borderId="61" xfId="0" applyFont="1" applyFill="1" applyBorder="1" applyAlignment="1">
      <alignment vertical="center"/>
    </xf>
    <xf numFmtId="10" fontId="45" fillId="11" borderId="61" xfId="1" applyNumberFormat="1" applyFont="1" applyFill="1" applyBorder="1" applyAlignment="1">
      <alignment vertical="center" wrapText="1"/>
    </xf>
    <xf numFmtId="0" fontId="45" fillId="11" borderId="61" xfId="0" applyFont="1" applyFill="1" applyBorder="1" applyAlignment="1">
      <alignment vertical="center" wrapText="1"/>
    </xf>
    <xf numFmtId="2" fontId="45" fillId="11" borderId="61" xfId="0" applyNumberFormat="1" applyFont="1" applyFill="1" applyBorder="1" applyAlignment="1">
      <alignment vertical="center"/>
    </xf>
    <xf numFmtId="44" fontId="45" fillId="11" borderId="61" xfId="20" applyFont="1" applyFill="1" applyBorder="1" applyAlignment="1">
      <alignment vertical="center" wrapText="1"/>
    </xf>
    <xf numFmtId="43" fontId="45" fillId="11" borderId="61" xfId="0" applyNumberFormat="1" applyFont="1" applyFill="1" applyBorder="1" applyAlignment="1">
      <alignment vertical="center" wrapText="1"/>
    </xf>
    <xf numFmtId="0" fontId="45" fillId="11" borderId="61" xfId="0" applyFont="1" applyFill="1" applyBorder="1" applyAlignment="1">
      <alignment horizontal="center" vertical="center" wrapText="1"/>
    </xf>
    <xf numFmtId="165" fontId="45" fillId="11" borderId="61" xfId="1" applyNumberFormat="1" applyFont="1" applyFill="1" applyBorder="1" applyAlignment="1">
      <alignment vertical="center" wrapText="1"/>
    </xf>
    <xf numFmtId="2" fontId="45" fillId="11" borderId="61" xfId="1" applyNumberFormat="1" applyFont="1" applyFill="1" applyBorder="1" applyAlignment="1">
      <alignment vertical="center" wrapText="1"/>
    </xf>
    <xf numFmtId="0" fontId="45" fillId="11" borderId="61" xfId="1" applyNumberFormat="1" applyFont="1" applyFill="1" applyBorder="1" applyAlignment="1">
      <alignment vertical="center" wrapText="1"/>
    </xf>
    <xf numFmtId="0" fontId="45" fillId="11" borderId="0" xfId="0" applyFont="1" applyFill="1" applyBorder="1" applyAlignment="1">
      <alignment vertical="center" wrapText="1"/>
    </xf>
    <xf numFmtId="10" fontId="45" fillId="11" borderId="61" xfId="1" applyNumberFormat="1" applyFont="1" applyFill="1" applyBorder="1" applyAlignment="1">
      <alignment horizontal="left" vertical="center" wrapText="1"/>
    </xf>
    <xf numFmtId="0" fontId="45" fillId="11" borderId="61" xfId="0" applyFont="1" applyFill="1" applyBorder="1" applyAlignment="1">
      <alignment horizontal="left" vertical="center" wrapText="1"/>
    </xf>
    <xf numFmtId="0" fontId="45" fillId="11" borderId="164" xfId="0" applyFont="1" applyFill="1" applyBorder="1" applyAlignment="1">
      <alignment vertical="center"/>
    </xf>
    <xf numFmtId="0" fontId="45" fillId="11" borderId="165" xfId="0" applyFont="1" applyFill="1" applyBorder="1" applyAlignment="1">
      <alignment vertical="center"/>
    </xf>
    <xf numFmtId="0" fontId="45" fillId="11" borderId="165" xfId="0" applyFont="1" applyFill="1" applyBorder="1" applyAlignment="1">
      <alignment vertical="center" wrapText="1"/>
    </xf>
    <xf numFmtId="0" fontId="45" fillId="11" borderId="166" xfId="0" applyFont="1" applyFill="1" applyBorder="1" applyAlignment="1">
      <alignment vertical="center"/>
    </xf>
    <xf numFmtId="0" fontId="45" fillId="11" borderId="167" xfId="0" applyFont="1" applyFill="1" applyBorder="1" applyAlignment="1">
      <alignment vertical="center"/>
    </xf>
    <xf numFmtId="0" fontId="45" fillId="11" borderId="0" xfId="0" applyFont="1" applyFill="1" applyBorder="1" applyAlignment="1">
      <alignment vertical="center"/>
    </xf>
    <xf numFmtId="0" fontId="45" fillId="11" borderId="168" xfId="0" applyFont="1" applyFill="1" applyBorder="1" applyAlignment="1">
      <alignment vertical="center"/>
    </xf>
    <xf numFmtId="10" fontId="45" fillId="11" borderId="0" xfId="1" applyNumberFormat="1" applyFont="1" applyFill="1" applyBorder="1" applyAlignment="1">
      <alignment vertical="center" wrapText="1"/>
    </xf>
    <xf numFmtId="0" fontId="45" fillId="11" borderId="169" xfId="0" applyFont="1" applyFill="1" applyBorder="1" applyAlignment="1">
      <alignment vertical="center"/>
    </xf>
    <xf numFmtId="0" fontId="45" fillId="11" borderId="170" xfId="0" applyFont="1" applyFill="1" applyBorder="1" applyAlignment="1">
      <alignment vertical="center"/>
    </xf>
    <xf numFmtId="0" fontId="45" fillId="11" borderId="170" xfId="0" applyFont="1" applyFill="1" applyBorder="1" applyAlignment="1">
      <alignment vertical="center" wrapText="1"/>
    </xf>
    <xf numFmtId="0" fontId="45" fillId="11" borderId="171" xfId="0" applyFont="1" applyFill="1" applyBorder="1" applyAlignment="1">
      <alignment vertical="center"/>
    </xf>
    <xf numFmtId="1" fontId="45" fillId="11" borderId="165" xfId="0" applyNumberFormat="1" applyFont="1" applyFill="1" applyBorder="1" applyAlignment="1">
      <alignment vertical="center"/>
    </xf>
    <xf numFmtId="1" fontId="45" fillId="11" borderId="0" xfId="0" applyNumberFormat="1" applyFont="1" applyFill="1" applyBorder="1" applyAlignment="1">
      <alignment vertical="center"/>
    </xf>
    <xf numFmtId="10" fontId="45" fillId="11" borderId="0" xfId="1" applyNumberFormat="1" applyFont="1" applyFill="1" applyBorder="1" applyAlignment="1">
      <alignment vertical="center"/>
    </xf>
    <xf numFmtId="9" fontId="45" fillId="11" borderId="0" xfId="0" applyNumberFormat="1" applyFont="1" applyFill="1" applyBorder="1" applyAlignment="1">
      <alignment vertical="center"/>
    </xf>
    <xf numFmtId="9" fontId="45" fillId="11" borderId="0" xfId="1" applyFont="1" applyFill="1" applyBorder="1" applyAlignment="1">
      <alignment vertical="center"/>
    </xf>
    <xf numFmtId="165" fontId="45" fillId="11" borderId="61" xfId="2" applyNumberFormat="1" applyFont="1" applyFill="1" applyBorder="1" applyAlignment="1">
      <alignment vertical="center"/>
    </xf>
    <xf numFmtId="3" fontId="46" fillId="11" borderId="61" xfId="0" applyNumberFormat="1" applyFont="1" applyFill="1" applyBorder="1" applyAlignment="1">
      <alignment vertical="center"/>
    </xf>
    <xf numFmtId="1" fontId="45" fillId="11" borderId="170" xfId="0" applyNumberFormat="1" applyFont="1" applyFill="1" applyBorder="1" applyAlignment="1">
      <alignment vertical="center"/>
    </xf>
    <xf numFmtId="10" fontId="45" fillId="11" borderId="61" xfId="0" applyNumberFormat="1" applyFont="1" applyFill="1" applyBorder="1" applyAlignment="1">
      <alignment vertical="center"/>
    </xf>
    <xf numFmtId="2" fontId="45" fillId="11" borderId="0" xfId="0" applyNumberFormat="1" applyFont="1" applyFill="1" applyAlignment="1">
      <alignment vertical="center"/>
    </xf>
    <xf numFmtId="3" fontId="45" fillId="11" borderId="61" xfId="0" applyNumberFormat="1" applyFont="1" applyFill="1" applyBorder="1" applyAlignment="1">
      <alignment vertical="center"/>
    </xf>
    <xf numFmtId="0" fontId="45" fillId="11" borderId="82" xfId="0" applyFont="1" applyFill="1" applyBorder="1" applyAlignment="1">
      <alignment vertical="center"/>
    </xf>
    <xf numFmtId="0" fontId="45" fillId="11" borderId="98" xfId="0" applyFont="1" applyFill="1" applyBorder="1" applyAlignment="1">
      <alignment vertical="center"/>
    </xf>
    <xf numFmtId="0" fontId="45" fillId="11" borderId="83" xfId="0" applyFont="1" applyFill="1" applyBorder="1" applyAlignment="1">
      <alignment vertical="center"/>
    </xf>
    <xf numFmtId="0" fontId="45" fillId="11" borderId="0" xfId="0" applyFont="1" applyFill="1" applyAlignment="1">
      <alignment horizontal="center" vertical="center"/>
    </xf>
    <xf numFmtId="44" fontId="45" fillId="11" borderId="61" xfId="20" applyFont="1" applyFill="1" applyBorder="1" applyAlignment="1">
      <alignment vertical="center"/>
    </xf>
    <xf numFmtId="0" fontId="45" fillId="11" borderId="83" xfId="0" applyFont="1" applyFill="1" applyBorder="1" applyAlignment="1">
      <alignment horizontal="center" vertical="center"/>
    </xf>
    <xf numFmtId="44" fontId="45" fillId="11" borderId="83" xfId="20" applyFont="1" applyFill="1" applyBorder="1" applyAlignment="1">
      <alignment vertical="center"/>
    </xf>
    <xf numFmtId="0" fontId="43" fillId="11" borderId="61" xfId="0" applyFont="1" applyFill="1" applyBorder="1" applyAlignment="1">
      <alignment horizontal="center" vertical="center" wrapText="1"/>
    </xf>
    <xf numFmtId="0" fontId="43" fillId="11" borderId="61" xfId="0" applyFont="1" applyFill="1" applyBorder="1" applyAlignment="1">
      <alignment horizontal="center" vertical="center"/>
    </xf>
    <xf numFmtId="4" fontId="43" fillId="11" borderId="61" xfId="20" applyNumberFormat="1" applyFont="1" applyFill="1" applyBorder="1" applyAlignment="1">
      <alignment vertical="center"/>
    </xf>
    <xf numFmtId="44" fontId="43" fillId="11" borderId="61" xfId="20" applyFont="1" applyFill="1" applyBorder="1" applyAlignment="1">
      <alignment vertical="center"/>
    </xf>
    <xf numFmtId="39" fontId="43" fillId="11" borderId="61" xfId="20" applyNumberFormat="1" applyFont="1" applyFill="1" applyBorder="1" applyAlignment="1">
      <alignment vertical="center"/>
    </xf>
    <xf numFmtId="4" fontId="43" fillId="11" borderId="61" xfId="0" applyNumberFormat="1" applyFont="1" applyFill="1" applyBorder="1" applyAlignment="1">
      <alignment vertical="center"/>
    </xf>
    <xf numFmtId="165" fontId="45" fillId="11" borderId="0" xfId="0" applyNumberFormat="1" applyFont="1" applyFill="1" applyBorder="1" applyAlignment="1">
      <alignment vertical="center"/>
    </xf>
    <xf numFmtId="0" fontId="24" fillId="11" borderId="170" xfId="0" applyFont="1" applyFill="1" applyBorder="1" applyAlignment="1">
      <alignment vertical="center" wrapText="1"/>
    </xf>
    <xf numFmtId="0" fontId="24" fillId="11" borderId="170" xfId="0" applyFont="1" applyFill="1" applyBorder="1" applyAlignment="1">
      <alignment horizontal="center" vertical="center" wrapText="1"/>
    </xf>
    <xf numFmtId="0" fontId="24" fillId="11" borderId="0" xfId="0" applyFont="1" applyFill="1" applyBorder="1" applyAlignment="1">
      <alignment vertical="center" wrapText="1"/>
    </xf>
    <xf numFmtId="0" fontId="8" fillId="11" borderId="0" xfId="0" applyFont="1" applyFill="1" applyBorder="1" applyAlignment="1">
      <alignment vertical="center" wrapText="1"/>
    </xf>
    <xf numFmtId="0" fontId="8" fillId="11" borderId="170" xfId="0" applyFont="1" applyFill="1" applyBorder="1" applyAlignment="1">
      <alignment vertical="center" wrapText="1"/>
    </xf>
    <xf numFmtId="0" fontId="8" fillId="11" borderId="0" xfId="0" applyFont="1" applyFill="1" applyBorder="1" applyAlignment="1">
      <alignment horizontal="left" vertical="center" wrapText="1"/>
    </xf>
    <xf numFmtId="0" fontId="24" fillId="11" borderId="172" xfId="0" applyFont="1" applyFill="1" applyBorder="1" applyAlignment="1">
      <alignment vertical="center" wrapText="1"/>
    </xf>
    <xf numFmtId="0" fontId="8" fillId="11" borderId="0" xfId="0" applyFont="1" applyFill="1" applyBorder="1"/>
    <xf numFmtId="0" fontId="8" fillId="11" borderId="170" xfId="0" applyFont="1" applyFill="1" applyBorder="1"/>
    <xf numFmtId="165" fontId="41" fillId="11" borderId="0" xfId="2" applyNumberFormat="1" applyFont="1" applyFill="1" applyBorder="1" applyAlignment="1">
      <alignment vertical="center"/>
    </xf>
    <xf numFmtId="165" fontId="41" fillId="11" borderId="170" xfId="2" applyNumberFormat="1" applyFont="1" applyFill="1" applyBorder="1" applyAlignment="1">
      <alignment vertical="center"/>
    </xf>
    <xf numFmtId="165" fontId="41" fillId="11" borderId="172" xfId="2" applyNumberFormat="1" applyFont="1" applyFill="1" applyBorder="1" applyAlignment="1">
      <alignment vertical="center"/>
    </xf>
    <xf numFmtId="0" fontId="24" fillId="11" borderId="172" xfId="0" applyFont="1" applyFill="1" applyBorder="1" applyAlignment="1">
      <alignment horizontal="center" vertical="center" wrapText="1"/>
    </xf>
    <xf numFmtId="0" fontId="0" fillId="11" borderId="0" xfId="0" applyFill="1"/>
    <xf numFmtId="0" fontId="0" fillId="11" borderId="61" xfId="0" applyFill="1" applyBorder="1" applyAlignment="1">
      <alignment horizontal="center" vertical="center" wrapText="1"/>
    </xf>
    <xf numFmtId="0" fontId="0" fillId="11" borderId="61" xfId="0" applyFill="1" applyBorder="1" applyAlignment="1">
      <alignment wrapText="1"/>
    </xf>
    <xf numFmtId="166" fontId="0" fillId="11" borderId="61" xfId="0" applyNumberFormat="1" applyFill="1" applyBorder="1" applyAlignment="1">
      <alignment wrapText="1"/>
    </xf>
    <xf numFmtId="0" fontId="45" fillId="11" borderId="61" xfId="0" applyFont="1" applyFill="1" applyBorder="1" applyAlignment="1">
      <alignment horizontal="center" vertical="center" wrapText="1"/>
    </xf>
    <xf numFmtId="0" fontId="45" fillId="11" borderId="61" xfId="0" applyFont="1" applyFill="1" applyBorder="1" applyAlignment="1">
      <alignment horizontal="left" vertical="center" wrapText="1"/>
    </xf>
    <xf numFmtId="0" fontId="46" fillId="11" borderId="61" xfId="0" applyFont="1" applyFill="1" applyBorder="1" applyAlignment="1">
      <alignment horizontal="center" vertical="center" wrapText="1"/>
    </xf>
    <xf numFmtId="0" fontId="43" fillId="11" borderId="61" xfId="0" applyFont="1" applyFill="1" applyBorder="1" applyAlignment="1">
      <alignment horizontal="left" vertical="center" wrapText="1"/>
    </xf>
    <xf numFmtId="0" fontId="45" fillId="11" borderId="61" xfId="0" applyFont="1" applyFill="1" applyBorder="1" applyAlignment="1">
      <alignment horizontal="left" vertical="center"/>
    </xf>
    <xf numFmtId="0" fontId="45" fillId="11" borderId="61" xfId="0" applyFont="1" applyFill="1" applyBorder="1" applyAlignment="1">
      <alignment horizontal="center" vertical="center"/>
    </xf>
    <xf numFmtId="0" fontId="46" fillId="11" borderId="0" xfId="0" applyFont="1" applyFill="1" applyBorder="1" applyAlignment="1">
      <alignment horizontal="center" vertical="center"/>
    </xf>
    <xf numFmtId="0" fontId="43" fillId="11" borderId="61" xfId="0" applyFont="1" applyFill="1" applyBorder="1" applyAlignment="1">
      <alignment horizontal="left" vertical="center"/>
    </xf>
    <xf numFmtId="0" fontId="45" fillId="11" borderId="82" xfId="0" applyFont="1" applyFill="1" applyBorder="1" applyAlignment="1">
      <alignment horizontal="center" vertical="center"/>
    </xf>
    <xf numFmtId="0" fontId="45" fillId="11" borderId="98" xfId="0" applyFont="1" applyFill="1" applyBorder="1" applyAlignment="1">
      <alignment horizontal="center" vertical="center"/>
    </xf>
    <xf numFmtId="0" fontId="45" fillId="11" borderId="83" xfId="0" applyFont="1" applyFill="1" applyBorder="1" applyAlignment="1">
      <alignment horizontal="center" vertical="center"/>
    </xf>
    <xf numFmtId="0" fontId="45" fillId="11" borderId="173" xfId="0" applyFont="1" applyFill="1" applyBorder="1" applyAlignment="1">
      <alignment horizontal="center" vertical="center"/>
    </xf>
    <xf numFmtId="0" fontId="45" fillId="11" borderId="156" xfId="0" applyFont="1" applyFill="1" applyBorder="1" applyAlignment="1">
      <alignment horizontal="center" vertical="center"/>
    </xf>
    <xf numFmtId="0" fontId="45" fillId="11" borderId="174" xfId="0" applyFont="1" applyFill="1" applyBorder="1" applyAlignment="1">
      <alignment horizontal="center" vertical="center"/>
    </xf>
    <xf numFmtId="1" fontId="45" fillId="11" borderId="61" xfId="0" applyNumberFormat="1" applyFont="1" applyFill="1" applyBorder="1" applyAlignment="1">
      <alignment horizontal="center" vertical="center"/>
    </xf>
    <xf numFmtId="0" fontId="45" fillId="11" borderId="130" xfId="0" applyFont="1" applyFill="1" applyBorder="1" applyAlignment="1">
      <alignment horizontal="center" vertical="center" wrapText="1"/>
    </xf>
    <xf numFmtId="0" fontId="45" fillId="11" borderId="128" xfId="0" applyFont="1" applyFill="1" applyBorder="1" applyAlignment="1">
      <alignment horizontal="center" vertical="center" wrapText="1"/>
    </xf>
    <xf numFmtId="0" fontId="45" fillId="11" borderId="131" xfId="0" applyFont="1" applyFill="1" applyBorder="1" applyAlignment="1">
      <alignment horizontal="center" vertical="center" wrapText="1"/>
    </xf>
    <xf numFmtId="0" fontId="43" fillId="11" borderId="127" xfId="0" applyFont="1" applyFill="1" applyBorder="1" applyAlignment="1">
      <alignment horizontal="center" vertical="center" wrapText="1"/>
    </xf>
    <xf numFmtId="0" fontId="43" fillId="11" borderId="129" xfId="0" applyFont="1" applyFill="1" applyBorder="1" applyAlignment="1">
      <alignment horizontal="center" vertical="center" wrapText="1"/>
    </xf>
    <xf numFmtId="0" fontId="43" fillId="11" borderId="175" xfId="0" applyFont="1" applyFill="1" applyBorder="1" applyAlignment="1">
      <alignment horizontal="center" vertical="center" wrapText="1"/>
    </xf>
    <xf numFmtId="0" fontId="43" fillId="11" borderId="100" xfId="0" applyFont="1" applyFill="1" applyBorder="1" applyAlignment="1">
      <alignment horizontal="center" vertical="center" wrapText="1"/>
    </xf>
    <xf numFmtId="0" fontId="43" fillId="11" borderId="101" xfId="0" applyFont="1" applyFill="1" applyBorder="1" applyAlignment="1">
      <alignment horizontal="center" vertical="center" wrapText="1"/>
    </xf>
    <xf numFmtId="0" fontId="43" fillId="11" borderId="103" xfId="0" applyFont="1" applyFill="1" applyBorder="1" applyAlignment="1">
      <alignment horizontal="center" vertical="center" wrapText="1"/>
    </xf>
    <xf numFmtId="0" fontId="45" fillId="24" borderId="82" xfId="0" applyFont="1" applyFill="1" applyBorder="1" applyAlignment="1">
      <alignment horizontal="center"/>
    </xf>
    <xf numFmtId="0" fontId="45" fillId="24" borderId="83" xfId="0" applyFont="1" applyFill="1" applyBorder="1" applyAlignment="1">
      <alignment horizontal="center"/>
    </xf>
    <xf numFmtId="0" fontId="44" fillId="0" borderId="165" xfId="0" applyFont="1" applyFill="1" applyBorder="1" applyAlignment="1">
      <alignment horizontal="center"/>
    </xf>
    <xf numFmtId="0" fontId="43" fillId="0" borderId="165" xfId="0" applyFont="1" applyFill="1" applyBorder="1" applyAlignment="1">
      <alignment horizontal="center"/>
    </xf>
    <xf numFmtId="0" fontId="3" fillId="10" borderId="62" xfId="0" applyFont="1" applyFill="1" applyBorder="1" applyAlignment="1">
      <alignment horizontal="center" vertical="center" wrapText="1"/>
    </xf>
    <xf numFmtId="0" fontId="3" fillId="10" borderId="63" xfId="0" applyFont="1" applyFill="1" applyBorder="1" applyAlignment="1">
      <alignment horizontal="center" vertical="center" wrapText="1"/>
    </xf>
    <xf numFmtId="0" fontId="3" fillId="10" borderId="88" xfId="0" applyFont="1" applyFill="1" applyBorder="1" applyAlignment="1">
      <alignment horizontal="center" vertical="center" wrapText="1"/>
    </xf>
    <xf numFmtId="0" fontId="2" fillId="19" borderId="91" xfId="0" applyFont="1" applyFill="1" applyBorder="1" applyAlignment="1">
      <alignment horizontal="left" vertical="center" wrapText="1"/>
    </xf>
    <xf numFmtId="0" fontId="2" fillId="19" borderId="24" xfId="0" applyFont="1" applyFill="1" applyBorder="1" applyAlignment="1">
      <alignment horizontal="left" vertical="center" wrapText="1"/>
    </xf>
    <xf numFmtId="0" fontId="2" fillId="19" borderId="154" xfId="0" applyFont="1" applyFill="1" applyBorder="1" applyAlignment="1">
      <alignment horizontal="left" vertical="center" wrapText="1"/>
    </xf>
    <xf numFmtId="0" fontId="2" fillId="19" borderId="155" xfId="0" applyFont="1" applyFill="1" applyBorder="1" applyAlignment="1">
      <alignment horizontal="left" vertical="center" wrapText="1"/>
    </xf>
    <xf numFmtId="0" fontId="6" fillId="19" borderId="158" xfId="0" applyFont="1" applyFill="1" applyBorder="1" applyAlignment="1">
      <alignment horizontal="center" vertical="center" wrapText="1"/>
    </xf>
    <xf numFmtId="0" fontId="6" fillId="19" borderId="159" xfId="0" applyFont="1" applyFill="1" applyBorder="1" applyAlignment="1">
      <alignment horizontal="center" vertical="center" wrapText="1"/>
    </xf>
    <xf numFmtId="0" fontId="2" fillId="19" borderId="93" xfId="0" applyFont="1" applyFill="1" applyBorder="1" applyAlignment="1">
      <alignment horizontal="left" vertical="center" wrapText="1"/>
    </xf>
    <xf numFmtId="0" fontId="2" fillId="19" borderId="25" xfId="0" applyFont="1" applyFill="1" applyBorder="1" applyAlignment="1">
      <alignment horizontal="left" vertical="center" wrapText="1"/>
    </xf>
    <xf numFmtId="0" fontId="2" fillId="19" borderId="94" xfId="0" applyFont="1" applyFill="1" applyBorder="1" applyAlignment="1">
      <alignment horizontal="left" vertical="center" wrapText="1"/>
    </xf>
    <xf numFmtId="0" fontId="2" fillId="19" borderId="95" xfId="0" applyFont="1" applyFill="1" applyBorder="1" applyAlignment="1">
      <alignment horizontal="left" vertical="center" wrapText="1"/>
    </xf>
    <xf numFmtId="0" fontId="3" fillId="10" borderId="87" xfId="0" applyFont="1" applyFill="1" applyBorder="1" applyAlignment="1">
      <alignment horizontal="left" vertical="center"/>
    </xf>
    <xf numFmtId="0" fontId="3" fillId="10" borderId="46" xfId="0" applyFont="1" applyFill="1" applyBorder="1" applyAlignment="1">
      <alignment horizontal="left" vertical="center"/>
    </xf>
    <xf numFmtId="0" fontId="3" fillId="10" borderId="89" xfId="0" applyFont="1" applyFill="1" applyBorder="1" applyAlignment="1">
      <alignment horizontal="left" vertical="center"/>
    </xf>
    <xf numFmtId="0" fontId="3" fillId="10" borderId="22" xfId="0" applyFont="1" applyFill="1" applyBorder="1" applyAlignment="1">
      <alignment horizontal="left" vertical="center"/>
    </xf>
    <xf numFmtId="0" fontId="6" fillId="14" borderId="0" xfId="0" applyFont="1" applyFill="1" applyAlignment="1">
      <alignment horizontal="center" vertical="center" wrapText="1"/>
    </xf>
    <xf numFmtId="0" fontId="3" fillId="6" borderId="53" xfId="0" applyFont="1" applyFill="1" applyBorder="1" applyAlignment="1">
      <alignment horizontal="center" vertical="center" wrapText="1"/>
    </xf>
    <xf numFmtId="0" fontId="3" fillId="6" borderId="54" xfId="0" applyFont="1" applyFill="1" applyBorder="1" applyAlignment="1">
      <alignment horizontal="center" vertical="center" wrapText="1"/>
    </xf>
    <xf numFmtId="0" fontId="9" fillId="9" borderId="13" xfId="0" applyFont="1" applyFill="1" applyBorder="1" applyAlignment="1">
      <alignment horizontal="center" vertical="center"/>
    </xf>
    <xf numFmtId="0" fontId="9" fillId="9" borderId="14" xfId="0" applyFont="1" applyFill="1" applyBorder="1" applyAlignment="1">
      <alignment horizontal="center" vertical="center"/>
    </xf>
    <xf numFmtId="0" fontId="9" fillId="9" borderId="15" xfId="0" applyFont="1" applyFill="1" applyBorder="1" applyAlignment="1">
      <alignment horizontal="center" vertical="center"/>
    </xf>
    <xf numFmtId="0" fontId="3" fillId="6" borderId="18" xfId="0" applyFont="1" applyFill="1" applyBorder="1" applyAlignment="1">
      <alignment horizontal="left" vertical="center" wrapText="1"/>
    </xf>
    <xf numFmtId="0" fontId="3" fillId="6" borderId="19" xfId="0" applyFont="1" applyFill="1" applyBorder="1" applyAlignment="1">
      <alignment horizontal="left" vertical="center" wrapText="1"/>
    </xf>
    <xf numFmtId="0" fontId="3" fillId="6" borderId="161" xfId="0" applyFont="1" applyFill="1" applyBorder="1" applyAlignment="1">
      <alignment horizontal="center" vertical="center"/>
    </xf>
    <xf numFmtId="0" fontId="3" fillId="6" borderId="162" xfId="0" applyFont="1" applyFill="1" applyBorder="1" applyAlignment="1">
      <alignment horizontal="center" vertical="center"/>
    </xf>
    <xf numFmtId="0" fontId="3" fillId="6" borderId="163" xfId="0" applyFont="1" applyFill="1" applyBorder="1" applyAlignment="1">
      <alignment horizontal="center" vertical="center"/>
    </xf>
    <xf numFmtId="1" fontId="3" fillId="18" borderId="17" xfId="0" applyNumberFormat="1" applyFont="1" applyFill="1" applyBorder="1" applyAlignment="1">
      <alignment horizontal="center" vertical="center"/>
    </xf>
    <xf numFmtId="1" fontId="3" fillId="18" borderId="119" xfId="0" applyNumberFormat="1" applyFont="1" applyFill="1" applyBorder="1" applyAlignment="1">
      <alignment horizontal="center" vertical="center"/>
    </xf>
    <xf numFmtId="0" fontId="41" fillId="8" borderId="156" xfId="0" applyFont="1" applyFill="1" applyBorder="1" applyAlignment="1">
      <alignment horizontal="center" vertical="center" wrapText="1"/>
    </xf>
    <xf numFmtId="0" fontId="41" fillId="8" borderId="0" xfId="0" applyFont="1" applyFill="1" applyBorder="1" applyAlignment="1">
      <alignment horizontal="center" vertical="center" wrapText="1"/>
    </xf>
    <xf numFmtId="0" fontId="41" fillId="8" borderId="157" xfId="0" applyFont="1" applyFill="1" applyBorder="1" applyAlignment="1">
      <alignment horizontal="center" vertical="center" wrapText="1"/>
    </xf>
    <xf numFmtId="0" fontId="4" fillId="3" borderId="44" xfId="0" applyFont="1" applyFill="1" applyBorder="1" applyAlignment="1">
      <alignment horizontal="left" vertical="center" wrapText="1"/>
    </xf>
    <xf numFmtId="0" fontId="4" fillId="3" borderId="0" xfId="0" applyFont="1" applyFill="1" applyBorder="1" applyAlignment="1">
      <alignment horizontal="left" vertical="center" wrapText="1"/>
    </xf>
    <xf numFmtId="0" fontId="4" fillId="3" borderId="39" xfId="0" applyFont="1" applyFill="1" applyBorder="1" applyAlignment="1">
      <alignment horizontal="left" vertical="center" wrapText="1"/>
    </xf>
    <xf numFmtId="0" fontId="4" fillId="20" borderId="20" xfId="0" applyFont="1" applyFill="1" applyBorder="1" applyAlignment="1">
      <alignment horizontal="left" vertical="center" wrapText="1"/>
    </xf>
    <xf numFmtId="0" fontId="4" fillId="20" borderId="21" xfId="0" applyFont="1" applyFill="1" applyBorder="1" applyAlignment="1">
      <alignment horizontal="left" vertical="center" wrapText="1"/>
    </xf>
    <xf numFmtId="0" fontId="4" fillId="21" borderId="9" xfId="0" applyFont="1" applyFill="1" applyBorder="1" applyAlignment="1">
      <alignment horizontal="left" vertical="center" wrapText="1"/>
    </xf>
    <xf numFmtId="0" fontId="4" fillId="21" borderId="8" xfId="0" applyFont="1" applyFill="1" applyBorder="1" applyAlignment="1">
      <alignment horizontal="left" vertical="center" wrapText="1"/>
    </xf>
    <xf numFmtId="0" fontId="3" fillId="4" borderId="61" xfId="0" applyFont="1" applyFill="1" applyBorder="1" applyAlignment="1">
      <alignment horizontal="center" vertical="center"/>
    </xf>
    <xf numFmtId="0" fontId="33" fillId="15" borderId="34" xfId="0" applyFont="1" applyFill="1" applyBorder="1" applyAlignment="1">
      <alignment horizontal="left" vertical="center"/>
    </xf>
    <xf numFmtId="0" fontId="33" fillId="15" borderId="10" xfId="0" applyFont="1" applyFill="1" applyBorder="1" applyAlignment="1">
      <alignment horizontal="left" vertical="center"/>
    </xf>
    <xf numFmtId="0" fontId="33" fillId="15" borderId="35" xfId="0" applyFont="1" applyFill="1" applyBorder="1" applyAlignment="1">
      <alignment horizontal="left" vertical="center"/>
    </xf>
    <xf numFmtId="0" fontId="33" fillId="15" borderId="36" xfId="0" applyFont="1" applyFill="1" applyBorder="1" applyAlignment="1">
      <alignment horizontal="left" vertical="center"/>
    </xf>
    <xf numFmtId="0" fontId="33" fillId="15" borderId="37" xfId="0" applyFont="1" applyFill="1" applyBorder="1" applyAlignment="1">
      <alignment horizontal="left" vertical="center"/>
    </xf>
    <xf numFmtId="0" fontId="33" fillId="15" borderId="38" xfId="0" applyFont="1" applyFill="1" applyBorder="1" applyAlignment="1">
      <alignment horizontal="left" vertical="center"/>
    </xf>
    <xf numFmtId="0" fontId="33" fillId="15" borderId="34" xfId="0" applyFont="1" applyFill="1" applyBorder="1" applyAlignment="1">
      <alignment horizontal="left" vertical="center" wrapText="1"/>
    </xf>
    <xf numFmtId="0" fontId="33" fillId="15" borderId="10" xfId="0" applyFont="1" applyFill="1" applyBorder="1" applyAlignment="1">
      <alignment horizontal="left" vertical="center" wrapText="1"/>
    </xf>
    <xf numFmtId="0" fontId="33" fillId="15" borderId="35" xfId="0" applyFont="1" applyFill="1" applyBorder="1" applyAlignment="1">
      <alignment horizontal="left" vertical="center" wrapText="1"/>
    </xf>
    <xf numFmtId="0" fontId="33" fillId="15" borderId="7" xfId="0" applyFont="1" applyFill="1" applyBorder="1" applyAlignment="1">
      <alignment horizontal="left" vertical="center" wrapText="1"/>
    </xf>
    <xf numFmtId="0" fontId="33" fillId="15" borderId="0" xfId="0" applyFont="1" applyFill="1" applyBorder="1" applyAlignment="1">
      <alignment horizontal="left" vertical="center" wrapText="1"/>
    </xf>
    <xf numFmtId="0" fontId="33" fillId="15" borderId="11" xfId="0" applyFont="1" applyFill="1" applyBorder="1" applyAlignment="1">
      <alignment horizontal="left" vertical="center" wrapText="1"/>
    </xf>
    <xf numFmtId="0" fontId="33" fillId="15" borderId="36" xfId="0" applyFont="1" applyFill="1" applyBorder="1" applyAlignment="1">
      <alignment horizontal="left" vertical="center" wrapText="1"/>
    </xf>
    <xf numFmtId="0" fontId="33" fillId="15" borderId="37" xfId="0" applyFont="1" applyFill="1" applyBorder="1" applyAlignment="1">
      <alignment horizontal="left" vertical="center" wrapText="1"/>
    </xf>
    <xf numFmtId="0" fontId="33" fillId="15" borderId="38" xfId="0" applyFont="1" applyFill="1" applyBorder="1" applyAlignment="1">
      <alignment horizontal="left" vertical="center" wrapText="1"/>
    </xf>
    <xf numFmtId="0" fontId="33" fillId="15" borderId="0" xfId="0" applyFont="1" applyFill="1" applyBorder="1" applyAlignment="1">
      <alignment horizontal="center" vertical="center" wrapText="1"/>
    </xf>
    <xf numFmtId="164" fontId="38" fillId="15" borderId="34" xfId="0" applyNumberFormat="1" applyFont="1" applyFill="1" applyBorder="1" applyAlignment="1">
      <alignment horizontal="right" vertical="center"/>
    </xf>
    <xf numFmtId="164" fontId="38" fillId="15" borderId="10" xfId="0" applyNumberFormat="1" applyFont="1" applyFill="1" applyBorder="1" applyAlignment="1">
      <alignment horizontal="right" vertical="center"/>
    </xf>
    <xf numFmtId="164" fontId="38" fillId="15" borderId="35" xfId="0" applyNumberFormat="1" applyFont="1" applyFill="1" applyBorder="1" applyAlignment="1">
      <alignment horizontal="right" vertical="center"/>
    </xf>
    <xf numFmtId="164" fontId="38" fillId="15" borderId="36" xfId="0" applyNumberFormat="1" applyFont="1" applyFill="1" applyBorder="1" applyAlignment="1">
      <alignment horizontal="right" vertical="center"/>
    </xf>
    <xf numFmtId="164" fontId="38" fillId="15" borderId="37" xfId="0" applyNumberFormat="1" applyFont="1" applyFill="1" applyBorder="1" applyAlignment="1">
      <alignment horizontal="right" vertical="center"/>
    </xf>
    <xf numFmtId="164" fontId="38" fillId="15" borderId="38" xfId="0" applyNumberFormat="1" applyFont="1" applyFill="1" applyBorder="1" applyAlignment="1">
      <alignment horizontal="right" vertical="center"/>
    </xf>
    <xf numFmtId="10" fontId="38" fillId="15" borderId="34" xfId="1" applyNumberFormat="1" applyFont="1" applyFill="1" applyBorder="1" applyAlignment="1">
      <alignment horizontal="right" vertical="center"/>
    </xf>
    <xf numFmtId="10" fontId="38" fillId="15" borderId="35" xfId="1" applyNumberFormat="1" applyFont="1" applyFill="1" applyBorder="1" applyAlignment="1">
      <alignment horizontal="right" vertical="center"/>
    </xf>
    <xf numFmtId="10" fontId="38" fillId="15" borderId="36" xfId="1" applyNumberFormat="1" applyFont="1" applyFill="1" applyBorder="1" applyAlignment="1">
      <alignment horizontal="right" vertical="center"/>
    </xf>
    <xf numFmtId="10" fontId="38" fillId="15" borderId="38" xfId="1" applyNumberFormat="1" applyFont="1" applyFill="1" applyBorder="1" applyAlignment="1">
      <alignment horizontal="right" vertical="center"/>
    </xf>
    <xf numFmtId="2" fontId="38" fillId="15" borderId="34" xfId="0" applyNumberFormat="1" applyFont="1" applyFill="1" applyBorder="1" applyAlignment="1">
      <alignment horizontal="center" vertical="center"/>
    </xf>
    <xf numFmtId="0" fontId="38" fillId="15" borderId="35" xfId="0" applyNumberFormat="1" applyFont="1" applyFill="1" applyBorder="1" applyAlignment="1">
      <alignment horizontal="center" vertical="center"/>
    </xf>
    <xf numFmtId="0" fontId="38" fillId="15" borderId="36" xfId="0" applyNumberFormat="1" applyFont="1" applyFill="1" applyBorder="1" applyAlignment="1">
      <alignment horizontal="center" vertical="center"/>
    </xf>
    <xf numFmtId="0" fontId="38" fillId="15" borderId="38" xfId="0" applyNumberFormat="1" applyFont="1" applyFill="1" applyBorder="1" applyAlignment="1">
      <alignment horizontal="center" vertical="center"/>
    </xf>
    <xf numFmtId="0" fontId="38" fillId="15" borderId="34" xfId="0" applyNumberFormat="1" applyFont="1" applyFill="1" applyBorder="1" applyAlignment="1">
      <alignment horizontal="center" vertical="center"/>
    </xf>
    <xf numFmtId="0" fontId="35" fillId="15" borderId="10" xfId="0" applyFont="1" applyFill="1" applyBorder="1" applyAlignment="1">
      <alignment horizontal="left" vertical="center"/>
    </xf>
    <xf numFmtId="0" fontId="35" fillId="15" borderId="35" xfId="0" applyFont="1" applyFill="1" applyBorder="1" applyAlignment="1">
      <alignment horizontal="left" vertical="center"/>
    </xf>
    <xf numFmtId="0" fontId="35" fillId="15" borderId="7" xfId="0" applyFont="1" applyFill="1" applyBorder="1" applyAlignment="1">
      <alignment horizontal="left" vertical="center"/>
    </xf>
    <xf numFmtId="0" fontId="35" fillId="15" borderId="0" xfId="0" applyFont="1" applyFill="1" applyBorder="1" applyAlignment="1">
      <alignment horizontal="left" vertical="center"/>
    </xf>
    <xf numFmtId="0" fontId="35" fillId="15" borderId="11" xfId="0" applyFont="1" applyFill="1" applyBorder="1" applyAlignment="1">
      <alignment horizontal="left" vertical="center"/>
    </xf>
    <xf numFmtId="0" fontId="35" fillId="15" borderId="36" xfId="0" applyFont="1" applyFill="1" applyBorder="1" applyAlignment="1">
      <alignment horizontal="left" vertical="center"/>
    </xf>
    <xf numFmtId="0" fontId="35" fillId="15" borderId="37" xfId="0" applyFont="1" applyFill="1" applyBorder="1" applyAlignment="1">
      <alignment horizontal="left" vertical="center"/>
    </xf>
    <xf numFmtId="0" fontId="35" fillId="15" borderId="38" xfId="0" applyFont="1" applyFill="1" applyBorder="1" applyAlignment="1">
      <alignment horizontal="left" vertical="center"/>
    </xf>
    <xf numFmtId="0" fontId="38" fillId="15" borderId="34" xfId="0" applyNumberFormat="1" applyFont="1" applyFill="1" applyBorder="1" applyAlignment="1">
      <alignment horizontal="right" vertical="center"/>
    </xf>
    <xf numFmtId="0" fontId="38" fillId="15" borderId="10" xfId="0" applyNumberFormat="1" applyFont="1" applyFill="1" applyBorder="1" applyAlignment="1">
      <alignment horizontal="right" vertical="center"/>
    </xf>
    <xf numFmtId="0" fontId="38" fillId="15" borderId="35" xfId="0" applyNumberFormat="1" applyFont="1" applyFill="1" applyBorder="1" applyAlignment="1">
      <alignment horizontal="right" vertical="center"/>
    </xf>
    <xf numFmtId="0" fontId="38" fillId="15" borderId="36" xfId="0" applyNumberFormat="1" applyFont="1" applyFill="1" applyBorder="1" applyAlignment="1">
      <alignment horizontal="right" vertical="center"/>
    </xf>
    <xf numFmtId="0" fontId="38" fillId="15" borderId="37" xfId="0" applyNumberFormat="1" applyFont="1" applyFill="1" applyBorder="1" applyAlignment="1">
      <alignment horizontal="right" vertical="center"/>
    </xf>
    <xf numFmtId="0" fontId="38" fillId="15" borderId="38" xfId="0" applyNumberFormat="1" applyFont="1" applyFill="1" applyBorder="1" applyAlignment="1">
      <alignment horizontal="right" vertical="center"/>
    </xf>
    <xf numFmtId="0" fontId="24" fillId="11" borderId="170" xfId="0" applyFont="1" applyFill="1" applyBorder="1" applyAlignment="1">
      <alignment horizontal="center" vertical="center" wrapText="1"/>
    </xf>
    <xf numFmtId="0" fontId="24" fillId="11" borderId="172" xfId="0" applyFont="1" applyFill="1" applyBorder="1" applyAlignment="1">
      <alignment horizontal="center" vertical="center" wrapText="1"/>
    </xf>
    <xf numFmtId="0" fontId="5" fillId="39" borderId="61" xfId="0" applyFont="1" applyFill="1" applyBorder="1" applyAlignment="1">
      <alignment horizontal="center" vertical="center" wrapText="1"/>
    </xf>
    <xf numFmtId="0" fontId="3" fillId="9" borderId="13" xfId="0" applyFont="1" applyFill="1" applyBorder="1" applyAlignment="1">
      <alignment horizontal="center" vertical="center"/>
    </xf>
    <xf numFmtId="0" fontId="3" fillId="9" borderId="14" xfId="0" applyFont="1" applyFill="1" applyBorder="1" applyAlignment="1">
      <alignment horizontal="center" vertical="center"/>
    </xf>
    <xf numFmtId="0" fontId="45" fillId="11" borderId="100" xfId="0" applyFont="1" applyFill="1" applyBorder="1" applyAlignment="1">
      <alignment horizontal="center"/>
    </xf>
    <xf numFmtId="0" fontId="45" fillId="11" borderId="101" xfId="0" applyFont="1" applyFill="1" applyBorder="1" applyAlignment="1">
      <alignment horizontal="center"/>
    </xf>
    <xf numFmtId="0" fontId="46" fillId="11" borderId="0" xfId="0" applyFont="1" applyFill="1" applyAlignment="1">
      <alignment horizontal="center"/>
    </xf>
    <xf numFmtId="0" fontId="46" fillId="11" borderId="136" xfId="0" applyFont="1" applyFill="1" applyBorder="1" applyAlignment="1">
      <alignment horizontal="center"/>
    </xf>
    <xf numFmtId="0" fontId="45" fillId="41" borderId="61" xfId="0" applyFont="1" applyFill="1" applyBorder="1" applyAlignment="1">
      <alignment horizontal="center"/>
    </xf>
    <xf numFmtId="1" fontId="45" fillId="11" borderId="0" xfId="5" applyNumberFormat="1" applyFont="1" applyFill="1" applyBorder="1" applyAlignment="1">
      <alignment horizontal="center" vertical="center" wrapText="1"/>
    </xf>
    <xf numFmtId="1" fontId="45" fillId="11" borderId="149" xfId="5" applyNumberFormat="1" applyFont="1" applyFill="1" applyBorder="1" applyAlignment="1">
      <alignment horizontal="center" vertical="center" wrapText="1"/>
    </xf>
    <xf numFmtId="0" fontId="45" fillId="0" borderId="61" xfId="0" applyFont="1" applyFill="1" applyBorder="1" applyAlignment="1">
      <alignment horizontal="center"/>
    </xf>
    <xf numFmtId="0" fontId="45" fillId="11" borderId="82" xfId="0" applyFont="1" applyFill="1" applyBorder="1" applyAlignment="1">
      <alignment horizontal="center"/>
    </xf>
    <xf numFmtId="0" fontId="45" fillId="11" borderId="98" xfId="0" applyFont="1" applyFill="1" applyBorder="1" applyAlignment="1">
      <alignment horizontal="center"/>
    </xf>
    <xf numFmtId="0" fontId="45" fillId="11" borderId="83" xfId="0" applyFont="1" applyFill="1" applyBorder="1" applyAlignment="1">
      <alignment horizontal="center"/>
    </xf>
    <xf numFmtId="0" fontId="49" fillId="11" borderId="127" xfId="5" applyFont="1" applyFill="1" applyBorder="1" applyAlignment="1">
      <alignment horizontal="center" vertical="center" wrapText="1"/>
    </xf>
    <xf numFmtId="0" fontId="49" fillId="11" borderId="83" xfId="5" applyFont="1" applyFill="1" applyBorder="1" applyAlignment="1">
      <alignment horizontal="center" vertical="center" wrapText="1"/>
    </xf>
    <xf numFmtId="0" fontId="45" fillId="0" borderId="61" xfId="24" applyFont="1" applyFill="1" applyBorder="1" applyAlignment="1">
      <alignment horizontal="center"/>
    </xf>
    <xf numFmtId="0" fontId="46" fillId="0" borderId="0" xfId="24" applyFont="1" applyFill="1" applyAlignment="1">
      <alignment horizontal="center"/>
    </xf>
    <xf numFmtId="0" fontId="45" fillId="0" borderId="61" xfId="24" applyFont="1" applyFill="1" applyBorder="1" applyAlignment="1">
      <alignment horizontal="center" vertical="center" wrapText="1"/>
    </xf>
    <xf numFmtId="0" fontId="46" fillId="0" borderId="0" xfId="24" applyFont="1" applyFill="1" applyBorder="1" applyAlignment="1">
      <alignment horizontal="center"/>
    </xf>
    <xf numFmtId="0" fontId="46" fillId="0" borderId="101" xfId="24" applyFont="1" applyFill="1" applyBorder="1" applyAlignment="1">
      <alignment horizontal="center"/>
    </xf>
    <xf numFmtId="0" fontId="9" fillId="31" borderId="82" xfId="0" applyFont="1" applyFill="1" applyBorder="1" applyAlignment="1">
      <alignment horizontal="center" vertical="center"/>
    </xf>
    <xf numFmtId="0" fontId="9" fillId="31" borderId="98" xfId="0" applyFont="1" applyFill="1" applyBorder="1" applyAlignment="1">
      <alignment horizontal="center" vertical="center"/>
    </xf>
    <xf numFmtId="0" fontId="9" fillId="31" borderId="83" xfId="0" applyFont="1" applyFill="1" applyBorder="1" applyAlignment="1">
      <alignment horizontal="center" vertical="center"/>
    </xf>
    <xf numFmtId="0" fontId="2" fillId="0" borderId="79" xfId="0" applyFont="1" applyBorder="1" applyAlignment="1">
      <alignment horizontal="center" vertical="center" wrapText="1"/>
    </xf>
    <xf numFmtId="0" fontId="2" fillId="0" borderId="106" xfId="0" applyFont="1" applyBorder="1" applyAlignment="1">
      <alignment horizontal="center" vertical="center" wrapText="1"/>
    </xf>
    <xf numFmtId="0" fontId="3" fillId="30" borderId="78" xfId="0" applyFont="1" applyFill="1" applyBorder="1" applyAlignment="1">
      <alignment horizontal="center" vertical="center" wrapText="1"/>
    </xf>
    <xf numFmtId="0" fontId="3" fillId="30" borderId="104" xfId="0" applyFont="1" applyFill="1" applyBorder="1" applyAlignment="1">
      <alignment horizontal="center" vertical="center" wrapText="1"/>
    </xf>
    <xf numFmtId="0" fontId="3" fillId="30" borderId="77" xfId="0" applyFont="1" applyFill="1" applyBorder="1" applyAlignment="1">
      <alignment horizontal="center" vertical="center" wrapText="1"/>
    </xf>
    <xf numFmtId="0" fontId="2" fillId="0" borderId="130" xfId="0" applyFont="1" applyBorder="1" applyAlignment="1">
      <alignment horizontal="center" vertical="center" wrapText="1"/>
    </xf>
    <xf numFmtId="0" fontId="2" fillId="0" borderId="128" xfId="0" applyFont="1" applyBorder="1" applyAlignment="1">
      <alignment horizontal="center" vertical="center" wrapText="1"/>
    </xf>
    <xf numFmtId="0" fontId="2" fillId="0" borderId="131" xfId="0" applyFont="1" applyBorder="1" applyAlignment="1">
      <alignment horizontal="center" vertical="center" wrapText="1"/>
    </xf>
    <xf numFmtId="0" fontId="7" fillId="11" borderId="61" xfId="0" applyFont="1" applyFill="1" applyBorder="1" applyAlignment="1">
      <alignment horizontal="center" vertical="center" wrapText="1"/>
    </xf>
    <xf numFmtId="0" fontId="29" fillId="11" borderId="61" xfId="0" applyFont="1" applyFill="1" applyBorder="1" applyAlignment="1">
      <alignment horizontal="center" vertical="center" wrapText="1"/>
    </xf>
    <xf numFmtId="0" fontId="3" fillId="30" borderId="134" xfId="0" applyFont="1" applyFill="1" applyBorder="1" applyAlignment="1">
      <alignment horizontal="center" vertical="center" wrapText="1"/>
    </xf>
    <xf numFmtId="0" fontId="3" fillId="6" borderId="130" xfId="0" applyFont="1" applyFill="1" applyBorder="1" applyAlignment="1">
      <alignment horizontal="center"/>
    </xf>
    <xf numFmtId="0" fontId="4" fillId="11" borderId="61" xfId="0" applyFont="1" applyFill="1" applyBorder="1" applyAlignment="1">
      <alignment horizontal="center"/>
    </xf>
    <xf numFmtId="0" fontId="4" fillId="11" borderId="0" xfId="0" applyFont="1" applyFill="1" applyAlignment="1">
      <alignment horizontal="left"/>
    </xf>
    <xf numFmtId="0" fontId="3" fillId="30" borderId="138" xfId="0" applyFont="1" applyFill="1" applyBorder="1" applyAlignment="1">
      <alignment horizontal="center" vertical="center" wrapText="1"/>
    </xf>
    <xf numFmtId="0" fontId="3" fillId="26" borderId="102" xfId="0" applyFont="1" applyFill="1" applyBorder="1" applyAlignment="1">
      <alignment horizontal="center" vertical="center" wrapText="1"/>
    </xf>
    <xf numFmtId="0" fontId="3" fillId="26" borderId="39" xfId="0" applyFont="1" applyFill="1" applyBorder="1" applyAlignment="1">
      <alignment horizontal="center" vertical="center" wrapText="1"/>
    </xf>
    <xf numFmtId="0" fontId="2" fillId="34" borderId="61" xfId="0" applyFont="1" applyFill="1" applyBorder="1" applyAlignment="1">
      <alignment horizontal="center"/>
    </xf>
    <xf numFmtId="0" fontId="2" fillId="34" borderId="130" xfId="0" applyFont="1" applyFill="1" applyBorder="1" applyAlignment="1">
      <alignment horizontal="center"/>
    </xf>
    <xf numFmtId="0" fontId="28" fillId="11" borderId="0" xfId="1" applyNumberFormat="1" applyFont="1" applyFill="1" applyAlignment="1">
      <alignment horizontal="center"/>
    </xf>
    <xf numFmtId="0" fontId="28" fillId="11" borderId="136" xfId="1" applyNumberFormat="1" applyFont="1" applyFill="1" applyBorder="1" applyAlignment="1">
      <alignment horizontal="center"/>
    </xf>
    <xf numFmtId="4" fontId="20" fillId="11" borderId="0" xfId="0" applyNumberFormat="1" applyFont="1" applyFill="1" applyAlignment="1">
      <alignment horizontal="center" vertical="center"/>
    </xf>
    <xf numFmtId="4" fontId="20" fillId="11" borderId="136" xfId="0" applyNumberFormat="1" applyFont="1" applyFill="1" applyBorder="1" applyAlignment="1">
      <alignment horizontal="center" vertical="center"/>
    </xf>
    <xf numFmtId="0" fontId="4" fillId="11" borderId="0" xfId="0" applyFont="1" applyFill="1" applyAlignment="1">
      <alignment horizontal="center"/>
    </xf>
    <xf numFmtId="0" fontId="19" fillId="11" borderId="61" xfId="0" applyFont="1" applyFill="1" applyBorder="1" applyAlignment="1">
      <alignment horizontal="center" vertical="center" wrapText="1"/>
    </xf>
    <xf numFmtId="0" fontId="28" fillId="11" borderId="61" xfId="0" applyFont="1" applyFill="1" applyBorder="1" applyAlignment="1">
      <alignment horizontal="center" vertical="center" wrapText="1"/>
    </xf>
    <xf numFmtId="0" fontId="28" fillId="11" borderId="61" xfId="0" applyFont="1" applyFill="1" applyBorder="1" applyAlignment="1">
      <alignment horizontal="center" wrapText="1"/>
    </xf>
    <xf numFmtId="0" fontId="28" fillId="11" borderId="0" xfId="1" applyNumberFormat="1" applyFont="1" applyFill="1" applyAlignment="1">
      <alignment horizontal="center" wrapText="1"/>
    </xf>
    <xf numFmtId="0" fontId="28" fillId="11" borderId="136" xfId="1" applyNumberFormat="1" applyFont="1" applyFill="1" applyBorder="1" applyAlignment="1">
      <alignment horizontal="center" wrapText="1"/>
    </xf>
    <xf numFmtId="0" fontId="19" fillId="11" borderId="82" xfId="0" applyFont="1" applyFill="1" applyBorder="1" applyAlignment="1">
      <alignment horizontal="center"/>
    </xf>
    <xf numFmtId="0" fontId="19" fillId="11" borderId="83" xfId="0" applyFont="1" applyFill="1" applyBorder="1" applyAlignment="1">
      <alignment horizontal="center"/>
    </xf>
    <xf numFmtId="0" fontId="19" fillId="11" borderId="61" xfId="0" applyFont="1" applyFill="1" applyBorder="1" applyAlignment="1">
      <alignment horizontal="center" vertical="center"/>
    </xf>
    <xf numFmtId="0" fontId="19" fillId="11" borderId="98" xfId="0" applyFont="1" applyFill="1" applyBorder="1" applyAlignment="1">
      <alignment horizontal="center"/>
    </xf>
    <xf numFmtId="0" fontId="28" fillId="11" borderId="8" xfId="3" applyFont="1" applyFill="1" applyBorder="1" applyAlignment="1">
      <alignment horizontal="center" vertical="center" wrapText="1"/>
    </xf>
    <xf numFmtId="0" fontId="19" fillId="11" borderId="8" xfId="3" applyFont="1" applyFill="1" applyBorder="1" applyAlignment="1">
      <alignment horizontal="left" vertical="center" wrapText="1"/>
    </xf>
    <xf numFmtId="0" fontId="12" fillId="24" borderId="0" xfId="0" applyFont="1" applyFill="1" applyAlignment="1">
      <alignment horizontal="left"/>
    </xf>
    <xf numFmtId="0" fontId="28" fillId="11" borderId="143" xfId="3" applyFont="1" applyFill="1" applyBorder="1" applyAlignment="1">
      <alignment horizontal="center" vertical="center" wrapText="1"/>
    </xf>
    <xf numFmtId="0" fontId="19" fillId="11" borderId="8" xfId="3" applyFont="1" applyFill="1" applyBorder="1" applyAlignment="1">
      <alignment horizontal="center" vertical="center" wrapText="1"/>
    </xf>
    <xf numFmtId="0" fontId="24" fillId="22" borderId="130" xfId="0" applyFont="1" applyFill="1" applyBorder="1" applyAlignment="1">
      <alignment horizontal="center" vertical="center" wrapText="1"/>
    </xf>
    <xf numFmtId="0" fontId="24" fillId="22" borderId="131" xfId="0" applyFont="1" applyFill="1" applyBorder="1" applyAlignment="1">
      <alignment horizontal="center" vertical="center" wrapText="1"/>
    </xf>
    <xf numFmtId="0" fontId="24" fillId="35" borderId="82" xfId="0" applyFont="1" applyFill="1" applyBorder="1" applyAlignment="1">
      <alignment horizontal="center"/>
    </xf>
    <xf numFmtId="0" fontId="24" fillId="35" borderId="98" xfId="0" applyFont="1" applyFill="1" applyBorder="1" applyAlignment="1">
      <alignment horizontal="center"/>
    </xf>
    <xf numFmtId="0" fontId="24" fillId="35" borderId="83" xfId="0" applyFont="1" applyFill="1" applyBorder="1" applyAlignment="1">
      <alignment horizontal="center"/>
    </xf>
    <xf numFmtId="0" fontId="24" fillId="22" borderId="61" xfId="0" applyFont="1" applyFill="1" applyBorder="1" applyAlignment="1">
      <alignment horizontal="center"/>
    </xf>
    <xf numFmtId="0" fontId="24" fillId="36" borderId="82" xfId="0" applyFont="1" applyFill="1" applyBorder="1" applyAlignment="1">
      <alignment horizontal="center"/>
    </xf>
    <xf numFmtId="0" fontId="24" fillId="36" borderId="98" xfId="0" applyFont="1" applyFill="1" applyBorder="1" applyAlignment="1">
      <alignment horizontal="center"/>
    </xf>
    <xf numFmtId="0" fontId="24" fillId="36" borderId="83" xfId="0" applyFont="1" applyFill="1" applyBorder="1" applyAlignment="1">
      <alignment horizontal="center"/>
    </xf>
    <xf numFmtId="0" fontId="24" fillId="34" borderId="98" xfId="0" applyFont="1" applyFill="1" applyBorder="1" applyAlignment="1">
      <alignment horizontal="center"/>
    </xf>
    <xf numFmtId="0" fontId="13" fillId="3" borderId="61" xfId="0" applyFont="1" applyFill="1" applyBorder="1" applyAlignment="1">
      <alignment horizontal="center"/>
    </xf>
    <xf numFmtId="0" fontId="24" fillId="34" borderId="82" xfId="0" applyFont="1" applyFill="1" applyBorder="1" applyAlignment="1">
      <alignment horizontal="center"/>
    </xf>
    <xf numFmtId="0" fontId="24" fillId="34" borderId="83" xfId="0" applyFont="1" applyFill="1" applyBorder="1" applyAlignment="1">
      <alignment horizontal="center"/>
    </xf>
    <xf numFmtId="0" fontId="13" fillId="33" borderId="61" xfId="0" applyFont="1" applyFill="1" applyBorder="1" applyAlignment="1">
      <alignment horizontal="center"/>
    </xf>
    <xf numFmtId="0" fontId="0" fillId="11" borderId="82" xfId="0" applyFill="1" applyBorder="1" applyAlignment="1">
      <alignment horizontal="center" wrapText="1"/>
    </xf>
    <xf numFmtId="0" fontId="0" fillId="11" borderId="83" xfId="0" applyFill="1" applyBorder="1" applyAlignment="1">
      <alignment horizontal="center" wrapText="1"/>
    </xf>
    <xf numFmtId="0" fontId="0" fillId="11" borderId="61" xfId="0" applyFill="1" applyBorder="1" applyAlignment="1">
      <alignment horizontal="center" vertical="center" wrapText="1"/>
    </xf>
    <xf numFmtId="0" fontId="0" fillId="11" borderId="61" xfId="0" applyFill="1" applyBorder="1" applyAlignment="1">
      <alignment horizontal="center" wrapText="1"/>
    </xf>
  </cellXfs>
  <cellStyles count="27">
    <cellStyle name="Millares" xfId="2" builtinId="3"/>
    <cellStyle name="Millares 2" xfId="10"/>
    <cellStyle name="Millares 3" xfId="11"/>
    <cellStyle name="Millares 3 2" xfId="12"/>
    <cellStyle name="Millares 4" xfId="7"/>
    <cellStyle name="Millares 5" xfId="13"/>
    <cellStyle name="Millares 6" xfId="26"/>
    <cellStyle name="Moneda" xfId="20" builtinId="4"/>
    <cellStyle name="Moneda 17" xfId="22"/>
    <cellStyle name="Moneda 2" xfId="8"/>
    <cellStyle name="Moneda 3" xfId="19"/>
    <cellStyle name="Normal" xfId="0" builtinId="0"/>
    <cellStyle name="Normal 11" xfId="14"/>
    <cellStyle name="Normal 2" xfId="15"/>
    <cellStyle name="Normal 2 2" xfId="5"/>
    <cellStyle name="Normal 3" xfId="4"/>
    <cellStyle name="Normal 3 2" xfId="16"/>
    <cellStyle name="Normal 3 3" xfId="17"/>
    <cellStyle name="Normal 4" xfId="18"/>
    <cellStyle name="Normal 5" xfId="24"/>
    <cellStyle name="Normal 5 2" xfId="3"/>
    <cellStyle name="Normal 7" xfId="6"/>
    <cellStyle name="Normal 7 2" xfId="21"/>
    <cellStyle name="Normal_Hoja1" xfId="23"/>
    <cellStyle name="Porcentaje" xfId="1" builtinId="5"/>
    <cellStyle name="Porcentaje 2" xfId="25"/>
    <cellStyle name="Porcentual 2" xfId="9"/>
  </cellStyles>
  <dxfs count="5">
    <dxf>
      <font>
        <color theme="0"/>
      </font>
      <fill>
        <patternFill>
          <bgColor theme="0"/>
        </patternFill>
      </fill>
    </dxf>
    <dxf>
      <font>
        <color theme="3" tint="0.59996337778862885"/>
      </font>
      <fill>
        <patternFill>
          <bgColor theme="3" tint="0.59996337778862885"/>
        </patternFill>
      </fill>
    </dxf>
    <dxf>
      <font>
        <color theme="3" tint="-0.24994659260841701"/>
      </font>
      <fill>
        <patternFill>
          <bgColor theme="3" tint="-0.24994659260841701"/>
        </patternFill>
      </fill>
    </dxf>
    <dxf>
      <font>
        <color theme="0"/>
      </font>
      <fill>
        <patternFill>
          <bgColor theme="0"/>
        </patternFill>
      </fill>
    </dxf>
    <dxf>
      <font>
        <color theme="3" tint="0.59996337778862885"/>
      </font>
      <fill>
        <patternFill>
          <bgColor theme="3" tint="0.59996337778862885"/>
        </patternFill>
      </fill>
    </dxf>
  </dxfs>
  <tableStyles count="0" defaultTableStyle="TableStyleMedium9" defaultPivotStyle="PivotStyleLight16"/>
  <colors>
    <mruColors>
      <color rgb="FFFFFFCC"/>
      <color rgb="FFFFFF66"/>
      <color rgb="FFFFFF99"/>
      <color rgb="FF66CCFF"/>
      <color rgb="FFFFCC66"/>
      <color rgb="FFFFCC00"/>
      <color rgb="FFFF9966"/>
      <color rgb="FF669900"/>
      <color rgb="FFFAFBF7"/>
      <color rgb="FF00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29"/>
    </mc:Choice>
    <mc:Fallback>
      <c:style val="29"/>
    </mc:Fallback>
  </mc:AlternateContent>
  <c:chart>
    <c:autoTitleDeleted val="0"/>
    <c:plotArea>
      <c:layout/>
      <c:barChart>
        <c:barDir val="col"/>
        <c:grouping val="clustered"/>
        <c:varyColors val="0"/>
        <c:ser>
          <c:idx val="0"/>
          <c:order val="0"/>
          <c:tx>
            <c:v>Flujo de Fondos</c:v>
          </c:tx>
          <c:spPr>
            <a:solidFill>
              <a:schemeClr val="accent3">
                <a:lumMod val="60000"/>
                <a:lumOff val="40000"/>
              </a:schemeClr>
            </a:solidFill>
          </c:spPr>
          <c:invertIfNegative val="0"/>
          <c:val>
            <c:numRef>
              <c:f>'Evaluación (2)'!$C$40:$L$40</c:f>
              <c:numCache>
                <c:formatCode>_(* #,##0_);_(* \(#,##0\);_(* "-"??_);_(@_)</c:formatCode>
                <c:ptCount val="10"/>
                <c:pt idx="0">
                  <c:v>0</c:v>
                </c:pt>
                <c:pt idx="1">
                  <c:v>0</c:v>
                </c:pt>
                <c:pt idx="2">
                  <c:v>0</c:v>
                </c:pt>
                <c:pt idx="3">
                  <c:v>-50</c:v>
                </c:pt>
                <c:pt idx="4">
                  <c:v>81.506479900268744</c:v>
                </c:pt>
                <c:pt idx="5">
                  <c:v>81.506479900268744</c:v>
                </c:pt>
                <c:pt idx="6">
                  <c:v>81.506479900268744</c:v>
                </c:pt>
                <c:pt idx="7">
                  <c:v>81.506479900268744</c:v>
                </c:pt>
                <c:pt idx="8">
                  <c:v>81.506479900268744</c:v>
                </c:pt>
                <c:pt idx="9">
                  <c:v>81.506479900268744</c:v>
                </c:pt>
              </c:numCache>
            </c:numRef>
          </c:val>
        </c:ser>
        <c:dLbls>
          <c:showLegendKey val="0"/>
          <c:showVal val="0"/>
          <c:showCatName val="0"/>
          <c:showSerName val="0"/>
          <c:showPercent val="0"/>
          <c:showBubbleSize val="0"/>
        </c:dLbls>
        <c:gapWidth val="150"/>
        <c:axId val="73608192"/>
        <c:axId val="73626752"/>
      </c:barChart>
      <c:lineChart>
        <c:grouping val="stacked"/>
        <c:varyColors val="0"/>
        <c:ser>
          <c:idx val="1"/>
          <c:order val="1"/>
          <c:tx>
            <c:strRef>
              <c:f>'Evaluación (2)'!$B$41</c:f>
              <c:strCache>
                <c:ptCount val="1"/>
                <c:pt idx="0">
                  <c:v>Flujo Acumulado</c:v>
                </c:pt>
              </c:strCache>
            </c:strRef>
          </c:tx>
          <c:spPr>
            <a:ln w="34925" cmpd="sng">
              <a:solidFill>
                <a:srgbClr val="FF0000"/>
              </a:solidFill>
              <a:prstDash val="solid"/>
            </a:ln>
          </c:spPr>
          <c:marker>
            <c:symbol val="none"/>
          </c:marker>
          <c:val>
            <c:numRef>
              <c:f>'Evaluación (2)'!$C$41:$L$41</c:f>
              <c:numCache>
                <c:formatCode>_(* #,##0_);_(* \(#,##0\);_(* "-"??_);_(@_)</c:formatCode>
                <c:ptCount val="10"/>
                <c:pt idx="0">
                  <c:v>0</c:v>
                </c:pt>
                <c:pt idx="1">
                  <c:v>0</c:v>
                </c:pt>
                <c:pt idx="2">
                  <c:v>0</c:v>
                </c:pt>
                <c:pt idx="3">
                  <c:v>-50</c:v>
                </c:pt>
                <c:pt idx="4">
                  <c:v>31.506479900268744</c:v>
                </c:pt>
                <c:pt idx="5">
                  <c:v>113.01295980053749</c:v>
                </c:pt>
                <c:pt idx="6">
                  <c:v>194.51943970080623</c:v>
                </c:pt>
                <c:pt idx="7">
                  <c:v>276.02591960107497</c:v>
                </c:pt>
                <c:pt idx="8">
                  <c:v>357.53239950134372</c:v>
                </c:pt>
                <c:pt idx="9">
                  <c:v>439.03887940161246</c:v>
                </c:pt>
              </c:numCache>
            </c:numRef>
          </c:val>
          <c:smooth val="0"/>
        </c:ser>
        <c:dLbls>
          <c:showLegendKey val="0"/>
          <c:showVal val="0"/>
          <c:showCatName val="0"/>
          <c:showSerName val="0"/>
          <c:showPercent val="0"/>
          <c:showBubbleSize val="0"/>
        </c:dLbls>
        <c:marker val="1"/>
        <c:smooth val="0"/>
        <c:axId val="73608192"/>
        <c:axId val="73626752"/>
      </c:lineChart>
      <c:catAx>
        <c:axId val="73608192"/>
        <c:scaling>
          <c:orientation val="minMax"/>
        </c:scaling>
        <c:delete val="0"/>
        <c:axPos val="b"/>
        <c:title>
          <c:tx>
            <c:rich>
              <a:bodyPr/>
              <a:lstStyle/>
              <a:p>
                <a:pPr>
                  <a:defRPr/>
                </a:pPr>
                <a:r>
                  <a:rPr lang="es-CO"/>
                  <a:t>Años</a:t>
                </a:r>
              </a:p>
            </c:rich>
          </c:tx>
          <c:layout/>
          <c:overlay val="0"/>
        </c:title>
        <c:majorTickMark val="out"/>
        <c:minorTickMark val="none"/>
        <c:tickLblPos val="nextTo"/>
        <c:crossAx val="73626752"/>
        <c:crosses val="autoZero"/>
        <c:auto val="1"/>
        <c:lblAlgn val="ctr"/>
        <c:lblOffset val="100"/>
        <c:noMultiLvlLbl val="0"/>
      </c:catAx>
      <c:valAx>
        <c:axId val="73626752"/>
        <c:scaling>
          <c:orientation val="minMax"/>
        </c:scaling>
        <c:delete val="0"/>
        <c:axPos val="l"/>
        <c:majorGridlines/>
        <c:title>
          <c:tx>
            <c:rich>
              <a:bodyPr rot="-5400000" vert="horz"/>
              <a:lstStyle/>
              <a:p>
                <a:pPr>
                  <a:defRPr/>
                </a:pPr>
                <a:r>
                  <a:rPr lang="es-CO"/>
                  <a:t>Millones [$]</a:t>
                </a:r>
              </a:p>
            </c:rich>
          </c:tx>
          <c:layout/>
          <c:overlay val="0"/>
        </c:title>
        <c:numFmt formatCode="_(* #,##0_);_(* \(#,##0\);_(* &quot;-&quot;??_);_(@_)" sourceLinked="1"/>
        <c:majorTickMark val="out"/>
        <c:minorTickMark val="none"/>
        <c:tickLblPos val="nextTo"/>
        <c:crossAx val="73608192"/>
        <c:crosses val="autoZero"/>
        <c:crossBetween val="between"/>
      </c:valAx>
    </c:plotArea>
    <c:legend>
      <c:legendPos val="r"/>
      <c:layout/>
      <c:overlay val="0"/>
    </c:legend>
    <c:plotVisOnly val="1"/>
    <c:dispBlanksAs val="zero"/>
    <c:showDLblsOverMax val="0"/>
  </c:chart>
  <c:spPr>
    <a:ln w="60325" cap="rnd" cmpd="dbl">
      <a:solidFill>
        <a:schemeClr val="bg2">
          <a:lumMod val="50000"/>
        </a:scheme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26"/>
    </mc:Choice>
    <mc:Fallback>
      <c:style val="26"/>
    </mc:Fallback>
  </mc:AlternateContent>
  <c:chart>
    <c:autoTitleDeleted val="0"/>
    <c:plotArea>
      <c:layout/>
      <c:barChart>
        <c:barDir val="col"/>
        <c:grouping val="clustered"/>
        <c:varyColors val="0"/>
        <c:ser>
          <c:idx val="0"/>
          <c:order val="0"/>
          <c:tx>
            <c:v>Flujo de Fondos</c:v>
          </c:tx>
          <c:invertIfNegative val="0"/>
          <c:dLbls>
            <c:spPr>
              <a:gradFill rotWithShape="1">
                <a:gsLst>
                  <a:gs pos="0">
                    <a:schemeClr val="accent4">
                      <a:tint val="50000"/>
                      <a:satMod val="300000"/>
                    </a:schemeClr>
                  </a:gs>
                  <a:gs pos="35000">
                    <a:schemeClr val="accent4">
                      <a:tint val="37000"/>
                      <a:satMod val="300000"/>
                    </a:schemeClr>
                  </a:gs>
                  <a:gs pos="100000">
                    <a:schemeClr val="accent4">
                      <a:tint val="15000"/>
                      <a:satMod val="350000"/>
                    </a:schemeClr>
                  </a:gs>
                </a:gsLst>
                <a:lin ang="16200000" scaled="1"/>
              </a:gradFill>
              <a:ln w="9525" cap="flat" cmpd="sng" algn="ctr">
                <a:solidFill>
                  <a:schemeClr val="accent4">
                    <a:shade val="95000"/>
                    <a:satMod val="105000"/>
                  </a:schemeClr>
                </a:solidFill>
                <a:prstDash val="solid"/>
              </a:ln>
              <a:effectLst>
                <a:outerShdw blurRad="40000" dist="20000" dir="5400000" rotWithShape="0">
                  <a:srgbClr val="000000">
                    <a:alpha val="38000"/>
                  </a:srgbClr>
                </a:outerShdw>
              </a:effectLst>
            </c:spPr>
            <c:txPr>
              <a:bodyPr/>
              <a:lstStyle/>
              <a:p>
                <a:pPr>
                  <a:defRPr>
                    <a:solidFill>
                      <a:schemeClr val="dk1"/>
                    </a:solidFill>
                    <a:latin typeface="+mn-lt"/>
                    <a:ea typeface="+mn-ea"/>
                    <a:cs typeface="+mn-cs"/>
                  </a:defRPr>
                </a:pPr>
                <a:endParaRPr lang="es-CO"/>
              </a:p>
            </c:txPr>
            <c:dLblPos val="outEnd"/>
            <c:showLegendKey val="0"/>
            <c:showVal val="1"/>
            <c:showCatName val="0"/>
            <c:showSerName val="0"/>
            <c:showPercent val="0"/>
            <c:showBubbleSize val="0"/>
            <c:showLeaderLines val="0"/>
          </c:dLbls>
          <c:cat>
            <c:numRef>
              <c:f>Evaluación!$C$27:$AA$27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cat>
          <c:val>
            <c:numRef>
              <c:f>Evaluación!$C$40:$AA$40</c:f>
              <c:numCache>
                <c:formatCode>_(* #,##0_);_(* \(#,##0\);_(* "-"??_);_(@_)</c:formatCode>
                <c:ptCount val="25"/>
                <c:pt idx="0">
                  <c:v>-4960.9503045075544</c:v>
                </c:pt>
                <c:pt idx="1">
                  <c:v>-4963.5894511929255</c:v>
                </c:pt>
                <c:pt idx="2">
                  <c:v>1131.3395424302473</c:v>
                </c:pt>
                <c:pt idx="3">
                  <c:v>1150.6099320160567</c:v>
                </c:pt>
                <c:pt idx="4">
                  <c:v>1697.1394678828556</c:v>
                </c:pt>
                <c:pt idx="5">
                  <c:v>1718.3708360057017</c:v>
                </c:pt>
                <c:pt idx="6">
                  <c:v>1740.982243056533</c:v>
                </c:pt>
                <c:pt idx="7">
                  <c:v>1765.0633915656683</c:v>
                </c:pt>
                <c:pt idx="8">
                  <c:v>1790.7098147278973</c:v>
                </c:pt>
                <c:pt idx="9">
                  <c:v>1818.0232553956712</c:v>
                </c:pt>
                <c:pt idx="10">
                  <c:v>1847.1120697068504</c:v>
                </c:pt>
                <c:pt idx="11">
                  <c:v>1878.0916569482565</c:v>
                </c:pt>
                <c:pt idx="12">
                  <c:v>1878.0916569482565</c:v>
                </c:pt>
                <c:pt idx="13">
                  <c:v>1878.0916569482565</c:v>
                </c:pt>
                <c:pt idx="14">
                  <c:v>1878.0916569482565</c:v>
                </c:pt>
                <c:pt idx="15">
                  <c:v>1878.0916569482565</c:v>
                </c:pt>
                <c:pt idx="16">
                  <c:v>1878.0916569482565</c:v>
                </c:pt>
                <c:pt idx="17">
                  <c:v>1878.0916569482565</c:v>
                </c:pt>
                <c:pt idx="18">
                  <c:v>1878.0916569482565</c:v>
                </c:pt>
                <c:pt idx="19">
                  <c:v>1878.0916569482565</c:v>
                </c:pt>
                <c:pt idx="20">
                  <c:v>1878.0916569482565</c:v>
                </c:pt>
                <c:pt idx="21">
                  <c:v>1878.0916569482565</c:v>
                </c:pt>
                <c:pt idx="22">
                  <c:v>1878.0916569482565</c:v>
                </c:pt>
                <c:pt idx="23">
                  <c:v>1878.0916569482565</c:v>
                </c:pt>
                <c:pt idx="24">
                  <c:v>1878.0916569482565</c:v>
                </c:pt>
              </c:numCache>
            </c:numRef>
          </c:val>
        </c:ser>
        <c:dLbls>
          <c:showLegendKey val="0"/>
          <c:showVal val="0"/>
          <c:showCatName val="0"/>
          <c:showSerName val="0"/>
          <c:showPercent val="0"/>
          <c:showBubbleSize val="0"/>
        </c:dLbls>
        <c:gapWidth val="150"/>
        <c:axId val="76109312"/>
        <c:axId val="76111232"/>
      </c:barChart>
      <c:lineChart>
        <c:grouping val="stacked"/>
        <c:varyColors val="0"/>
        <c:ser>
          <c:idx val="1"/>
          <c:order val="1"/>
          <c:tx>
            <c:strRef>
              <c:f>Evaluación!$B$41</c:f>
              <c:strCache>
                <c:ptCount val="1"/>
                <c:pt idx="0">
                  <c:v>Flujo Acumulado</c:v>
                </c:pt>
              </c:strCache>
            </c:strRef>
          </c:tx>
          <c:marker>
            <c:symbol val="none"/>
          </c:marker>
          <c:val>
            <c:numRef>
              <c:f>Evaluación!$C$41:$AA$41</c:f>
              <c:numCache>
                <c:formatCode>_(* #,##0_);_(* \(#,##0\);_(* "-"??_);_(@_)</c:formatCode>
                <c:ptCount val="25"/>
                <c:pt idx="0">
                  <c:v>-4960.9503045075544</c:v>
                </c:pt>
                <c:pt idx="1">
                  <c:v>-9924.5397557004799</c:v>
                </c:pt>
                <c:pt idx="2">
                  <c:v>-8793.2002132702328</c:v>
                </c:pt>
                <c:pt idx="3">
                  <c:v>-7642.5902812541763</c:v>
                </c:pt>
                <c:pt idx="4">
                  <c:v>-5945.4508133713207</c:v>
                </c:pt>
                <c:pt idx="5">
                  <c:v>-4227.079977365619</c:v>
                </c:pt>
                <c:pt idx="6">
                  <c:v>-2486.0977343090863</c:v>
                </c:pt>
                <c:pt idx="7">
                  <c:v>-721.03434274341794</c:v>
                </c:pt>
                <c:pt idx="8">
                  <c:v>1069.6754719844794</c:v>
                </c:pt>
                <c:pt idx="9">
                  <c:v>2887.6987273801506</c:v>
                </c:pt>
                <c:pt idx="10">
                  <c:v>4734.8107970870005</c:v>
                </c:pt>
                <c:pt idx="11">
                  <c:v>6612.9024540352566</c:v>
                </c:pt>
                <c:pt idx="12">
                  <c:v>8490.9941109835127</c:v>
                </c:pt>
                <c:pt idx="13">
                  <c:v>10369.085767931769</c:v>
                </c:pt>
                <c:pt idx="14">
                  <c:v>12247.177424880025</c:v>
                </c:pt>
                <c:pt idx="15">
                  <c:v>14125.269081828281</c:v>
                </c:pt>
                <c:pt idx="16">
                  <c:v>16003.360738776537</c:v>
                </c:pt>
                <c:pt idx="17">
                  <c:v>17881.452395724795</c:v>
                </c:pt>
                <c:pt idx="18">
                  <c:v>19759.544052673053</c:v>
                </c:pt>
                <c:pt idx="19">
                  <c:v>21637.635709621311</c:v>
                </c:pt>
                <c:pt idx="20">
                  <c:v>23515.727366569568</c:v>
                </c:pt>
                <c:pt idx="21">
                  <c:v>25393.819023517826</c:v>
                </c:pt>
                <c:pt idx="22">
                  <c:v>27271.910680466084</c:v>
                </c:pt>
                <c:pt idx="23">
                  <c:v>29150.002337414342</c:v>
                </c:pt>
                <c:pt idx="24">
                  <c:v>31028.0939943626</c:v>
                </c:pt>
              </c:numCache>
            </c:numRef>
          </c:val>
          <c:smooth val="0"/>
        </c:ser>
        <c:dLbls>
          <c:showLegendKey val="0"/>
          <c:showVal val="0"/>
          <c:showCatName val="0"/>
          <c:showSerName val="0"/>
          <c:showPercent val="0"/>
          <c:showBubbleSize val="0"/>
        </c:dLbls>
        <c:marker val="1"/>
        <c:smooth val="0"/>
        <c:axId val="76127232"/>
        <c:axId val="76125696"/>
      </c:lineChart>
      <c:catAx>
        <c:axId val="76109312"/>
        <c:scaling>
          <c:orientation val="minMax"/>
        </c:scaling>
        <c:delete val="0"/>
        <c:axPos val="b"/>
        <c:title>
          <c:tx>
            <c:rich>
              <a:bodyPr/>
              <a:lstStyle/>
              <a:p>
                <a:pPr>
                  <a:defRPr/>
                </a:pPr>
                <a:r>
                  <a:rPr lang="es-CO"/>
                  <a:t>Años</a:t>
                </a:r>
              </a:p>
            </c:rich>
          </c:tx>
          <c:layout/>
          <c:overlay val="0"/>
        </c:title>
        <c:numFmt formatCode="General" sourceLinked="1"/>
        <c:majorTickMark val="out"/>
        <c:minorTickMark val="none"/>
        <c:tickLblPos val="nextTo"/>
        <c:crossAx val="76111232"/>
        <c:crosses val="autoZero"/>
        <c:auto val="1"/>
        <c:lblAlgn val="ctr"/>
        <c:lblOffset val="100"/>
        <c:noMultiLvlLbl val="0"/>
      </c:catAx>
      <c:valAx>
        <c:axId val="76111232"/>
        <c:scaling>
          <c:orientation val="minMax"/>
          <c:max val="6000"/>
        </c:scaling>
        <c:delete val="0"/>
        <c:axPos val="l"/>
        <c:majorGridlines/>
        <c:title>
          <c:tx>
            <c:rich>
              <a:bodyPr rot="-5400000" vert="horz"/>
              <a:lstStyle/>
              <a:p>
                <a:pPr>
                  <a:defRPr/>
                </a:pPr>
                <a:r>
                  <a:rPr lang="es-CO"/>
                  <a:t>Millones [$]</a:t>
                </a:r>
              </a:p>
            </c:rich>
          </c:tx>
          <c:layout/>
          <c:overlay val="0"/>
        </c:title>
        <c:numFmt formatCode="_(* #,##0_);_(* \(#,##0\);_(* &quot;-&quot;??_);_(@_)" sourceLinked="1"/>
        <c:majorTickMark val="out"/>
        <c:minorTickMark val="none"/>
        <c:tickLblPos val="nextTo"/>
        <c:crossAx val="76109312"/>
        <c:crosses val="autoZero"/>
        <c:crossBetween val="between"/>
      </c:valAx>
      <c:valAx>
        <c:axId val="76125696"/>
        <c:scaling>
          <c:orientation val="minMax"/>
        </c:scaling>
        <c:delete val="0"/>
        <c:axPos val="r"/>
        <c:numFmt formatCode="_(* #,##0_);_(* \(#,##0\);_(* &quot;-&quot;??_);_(@_)" sourceLinked="1"/>
        <c:majorTickMark val="out"/>
        <c:minorTickMark val="none"/>
        <c:tickLblPos val="nextTo"/>
        <c:crossAx val="76127232"/>
        <c:crosses val="max"/>
        <c:crossBetween val="between"/>
      </c:valAx>
      <c:catAx>
        <c:axId val="76127232"/>
        <c:scaling>
          <c:orientation val="minMax"/>
        </c:scaling>
        <c:delete val="1"/>
        <c:axPos val="b"/>
        <c:majorTickMark val="out"/>
        <c:minorTickMark val="none"/>
        <c:tickLblPos val="nextTo"/>
        <c:crossAx val="76125696"/>
        <c:crosses val="autoZero"/>
        <c:auto val="1"/>
        <c:lblAlgn val="ctr"/>
        <c:lblOffset val="100"/>
        <c:noMultiLvlLbl val="0"/>
      </c:catAx>
    </c:plotArea>
    <c:legend>
      <c:legendPos val="r"/>
      <c:layout>
        <c:manualLayout>
          <c:xMode val="edge"/>
          <c:yMode val="edge"/>
          <c:x val="9.3614877703022528E-2"/>
          <c:y val="5.7183548038001554E-2"/>
          <c:w val="0.12393660438016146"/>
          <c:h val="0.11038390651064278"/>
        </c:manualLayout>
      </c:layout>
      <c:overlay val="1"/>
    </c:legend>
    <c:plotVisOnly val="1"/>
    <c:dispBlanksAs val="zero"/>
    <c:showDLblsOverMax val="0"/>
  </c:chart>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3</xdr:col>
      <xdr:colOff>204108</xdr:colOff>
      <xdr:row>0</xdr:row>
      <xdr:rowOff>27212</xdr:rowOff>
    </xdr:from>
    <xdr:to>
      <xdr:col>8</xdr:col>
      <xdr:colOff>840441</xdr:colOff>
      <xdr:row>23</xdr:row>
      <xdr:rowOff>84045</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2</xdr:col>
      <xdr:colOff>761998</xdr:colOff>
      <xdr:row>2</xdr:row>
      <xdr:rowOff>148402</xdr:rowOff>
    </xdr:from>
    <xdr:ext cx="9171213" cy="530658"/>
    <xdr:sp macro="" textlink="">
      <xdr:nvSpPr>
        <xdr:cNvPr id="2" name="1 Rectángulo"/>
        <xdr:cNvSpPr/>
      </xdr:nvSpPr>
      <xdr:spPr>
        <a:xfrm>
          <a:off x="2068284" y="488581"/>
          <a:ext cx="9171213" cy="530658"/>
        </a:xfrm>
        <a:prstGeom prst="rect">
          <a:avLst/>
        </a:prstGeom>
        <a:solidFill>
          <a:schemeClr val="bg2">
            <a:lumMod val="50000"/>
            <a:alpha val="36000"/>
          </a:schemeClr>
        </a:solidFill>
      </xdr:spPr>
      <xdr:txBody>
        <a:bodyPr wrap="square" lIns="91440" tIns="45720" rIns="91440" bIns="45720">
          <a:spAutoFit/>
        </a:bodyPr>
        <a:lstStyle/>
        <a:p>
          <a:pPr algn="ctr"/>
          <a:r>
            <a:rPr lang="es-ES" sz="2800" b="1" cap="none" spc="50">
              <a:ln w="13500">
                <a:solidFill>
                  <a:schemeClr val="accent1">
                    <a:shade val="2500"/>
                    <a:alpha val="6500"/>
                  </a:schemeClr>
                </a:solidFill>
                <a:prstDash val="solid"/>
              </a:ln>
              <a:solidFill>
                <a:sysClr val="windowText" lastClr="000000">
                  <a:alpha val="95000"/>
                </a:sysClr>
              </a:solidFill>
              <a:effectLst>
                <a:innerShdw blurRad="50900" dist="38500" dir="13500000">
                  <a:srgbClr val="000000">
                    <a:alpha val="60000"/>
                  </a:srgbClr>
                </a:innerShdw>
              </a:effectLst>
            </a:rPr>
            <a:t>FICHA</a:t>
          </a:r>
          <a:r>
            <a:rPr lang="es-ES" sz="2800" b="1" cap="none" spc="50" baseline="0">
              <a:ln w="13500">
                <a:solidFill>
                  <a:schemeClr val="accent1">
                    <a:shade val="2500"/>
                    <a:alpha val="6500"/>
                  </a:schemeClr>
                </a:solidFill>
                <a:prstDash val="solid"/>
              </a:ln>
              <a:solidFill>
                <a:sysClr val="windowText" lastClr="000000">
                  <a:alpha val="95000"/>
                </a:sysClr>
              </a:solidFill>
              <a:effectLst>
                <a:innerShdw blurRad="50900" dist="38500" dir="13500000">
                  <a:srgbClr val="000000">
                    <a:alpha val="60000"/>
                  </a:srgbClr>
                </a:innerShdw>
              </a:effectLst>
            </a:rPr>
            <a:t> DEL PROYECTO</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3</xdr:col>
      <xdr:colOff>204108</xdr:colOff>
      <xdr:row>0</xdr:row>
      <xdr:rowOff>27212</xdr:rowOff>
    </xdr:from>
    <xdr:to>
      <xdr:col>15</xdr:col>
      <xdr:colOff>350184</xdr:colOff>
      <xdr:row>23</xdr:row>
      <xdr:rowOff>84045</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AE71"/>
  <sheetViews>
    <sheetView showGridLines="0" topLeftCell="B1" zoomScale="68" zoomScaleNormal="68" workbookViewId="0">
      <selection activeCell="I9" sqref="I9"/>
    </sheetView>
  </sheetViews>
  <sheetFormatPr baseColWidth="10" defaultRowHeight="12.75" outlineLevelCol="1" x14ac:dyDescent="0.25"/>
  <cols>
    <col min="1" max="1" width="3" style="491" customWidth="1"/>
    <col min="2" max="2" width="3.28515625" style="491" customWidth="1"/>
    <col min="3" max="3" width="46.28515625" style="491" customWidth="1"/>
    <col min="4" max="4" width="8" style="493" customWidth="1"/>
    <col min="5" max="5" width="11.5703125" style="491" customWidth="1"/>
    <col min="6" max="6" width="12.28515625" style="491" customWidth="1"/>
    <col min="7" max="7" width="17.85546875" style="491" customWidth="1"/>
    <col min="8" max="8" width="14.140625" style="491" customWidth="1"/>
    <col min="9" max="9" width="17.42578125" style="491" customWidth="1"/>
    <col min="10" max="12" width="11.7109375" style="491" customWidth="1"/>
    <col min="13" max="29" width="11.7109375" style="491" customWidth="1" outlineLevel="1"/>
    <col min="30" max="30" width="11.7109375" style="492" customWidth="1"/>
    <col min="31" max="31" width="2.85546875" style="491" customWidth="1"/>
    <col min="32" max="16384" width="11.42578125" style="491"/>
  </cols>
  <sheetData>
    <row r="1" spans="2:31" ht="13.5" thickBot="1" x14ac:dyDescent="0.3"/>
    <row r="2" spans="2:31" x14ac:dyDescent="0.25">
      <c r="B2" s="508"/>
      <c r="C2" s="509"/>
      <c r="D2" s="510"/>
      <c r="E2" s="509"/>
      <c r="F2" s="509"/>
      <c r="G2" s="509"/>
      <c r="H2" s="509"/>
      <c r="I2" s="509"/>
      <c r="J2" s="509"/>
      <c r="K2" s="509"/>
      <c r="L2" s="509"/>
      <c r="M2" s="509"/>
      <c r="N2" s="509"/>
      <c r="O2" s="509"/>
      <c r="P2" s="509"/>
      <c r="Q2" s="509"/>
      <c r="R2" s="509"/>
      <c r="S2" s="509"/>
      <c r="T2" s="509"/>
      <c r="U2" s="509"/>
      <c r="V2" s="509"/>
      <c r="W2" s="509"/>
      <c r="X2" s="509"/>
      <c r="Y2" s="509"/>
      <c r="Z2" s="509"/>
      <c r="AA2" s="509"/>
      <c r="AB2" s="509"/>
      <c r="AC2" s="509"/>
      <c r="AD2" s="520"/>
      <c r="AE2" s="511"/>
    </row>
    <row r="3" spans="2:31" x14ac:dyDescent="0.25">
      <c r="B3" s="512"/>
      <c r="C3" s="568" t="s">
        <v>1480</v>
      </c>
      <c r="D3" s="568"/>
      <c r="E3" s="568"/>
      <c r="F3" s="568"/>
      <c r="G3" s="568"/>
      <c r="H3" s="568"/>
      <c r="I3" s="568"/>
      <c r="J3" s="568"/>
      <c r="K3" s="568"/>
      <c r="L3" s="568"/>
      <c r="M3" s="568"/>
      <c r="N3" s="568"/>
      <c r="O3" s="568"/>
      <c r="P3" s="568"/>
      <c r="Q3" s="568"/>
      <c r="R3" s="568"/>
      <c r="S3" s="568"/>
      <c r="T3" s="568"/>
      <c r="U3" s="568"/>
      <c r="V3" s="568"/>
      <c r="W3" s="568"/>
      <c r="X3" s="568"/>
      <c r="Y3" s="568"/>
      <c r="Z3" s="568"/>
      <c r="AA3" s="568"/>
      <c r="AB3" s="568"/>
      <c r="AC3" s="568"/>
      <c r="AD3" s="568"/>
      <c r="AE3" s="514"/>
    </row>
    <row r="4" spans="2:31" x14ac:dyDescent="0.25">
      <c r="B4" s="512"/>
      <c r="C4" s="513"/>
      <c r="D4" s="505"/>
      <c r="E4" s="513"/>
      <c r="F4" s="513"/>
      <c r="G4" s="513"/>
      <c r="H4" s="513"/>
      <c r="I4" s="513"/>
      <c r="J4" s="513"/>
      <c r="K4" s="513"/>
      <c r="L4" s="513"/>
      <c r="M4" s="513"/>
      <c r="N4" s="513"/>
      <c r="O4" s="513"/>
      <c r="P4" s="513"/>
      <c r="Q4" s="513"/>
      <c r="R4" s="513"/>
      <c r="S4" s="513"/>
      <c r="T4" s="513"/>
      <c r="U4" s="513"/>
      <c r="V4" s="513"/>
      <c r="W4" s="513"/>
      <c r="X4" s="513"/>
      <c r="Y4" s="513"/>
      <c r="Z4" s="513"/>
      <c r="AA4" s="513"/>
      <c r="AB4" s="513"/>
      <c r="AC4" s="513"/>
      <c r="AD4" s="521"/>
      <c r="AE4" s="514"/>
    </row>
    <row r="5" spans="2:31" x14ac:dyDescent="0.25">
      <c r="B5" s="512"/>
      <c r="C5" s="562" t="s">
        <v>12</v>
      </c>
      <c r="D5" s="562"/>
      <c r="E5" s="513"/>
      <c r="F5" s="513"/>
      <c r="G5" s="513"/>
      <c r="H5" s="513"/>
      <c r="I5" s="513"/>
      <c r="J5" s="513"/>
      <c r="K5" s="513"/>
      <c r="L5" s="513"/>
      <c r="M5" s="513"/>
      <c r="N5" s="513"/>
      <c r="O5" s="513"/>
      <c r="P5" s="513"/>
      <c r="Q5" s="513"/>
      <c r="R5" s="513"/>
      <c r="S5" s="513"/>
      <c r="T5" s="513"/>
      <c r="U5" s="513"/>
      <c r="V5" s="513"/>
      <c r="W5" s="513"/>
      <c r="X5" s="513"/>
      <c r="Y5" s="513"/>
      <c r="Z5" s="513"/>
      <c r="AA5" s="513"/>
      <c r="AB5" s="513"/>
      <c r="AC5" s="513"/>
      <c r="AD5" s="521"/>
      <c r="AE5" s="514"/>
    </row>
    <row r="6" spans="2:31" x14ac:dyDescent="0.25">
      <c r="B6" s="512"/>
      <c r="C6" s="495" t="s">
        <v>1</v>
      </c>
      <c r="D6" s="497">
        <v>1</v>
      </c>
      <c r="E6" s="513"/>
      <c r="F6" s="513"/>
      <c r="G6" s="522"/>
      <c r="H6" s="513"/>
      <c r="I6" s="513"/>
      <c r="J6" s="513"/>
      <c r="K6" s="513"/>
      <c r="L6" s="513"/>
      <c r="M6" s="513"/>
      <c r="N6" s="513"/>
      <c r="O6" s="513"/>
      <c r="P6" s="513"/>
      <c r="Q6" s="513"/>
      <c r="R6" s="513"/>
      <c r="S6" s="513"/>
      <c r="T6" s="513"/>
      <c r="U6" s="513"/>
      <c r="V6" s="513"/>
      <c r="W6" s="513"/>
      <c r="X6" s="513"/>
      <c r="Y6" s="513"/>
      <c r="Z6" s="513"/>
      <c r="AA6" s="513"/>
      <c r="AB6" s="513"/>
      <c r="AC6" s="513"/>
      <c r="AD6" s="521"/>
      <c r="AE6" s="514"/>
    </row>
    <row r="7" spans="2:31" x14ac:dyDescent="0.25">
      <c r="B7" s="512"/>
      <c r="C7" s="495" t="s">
        <v>2</v>
      </c>
      <c r="D7" s="496">
        <v>0.13900000000000001</v>
      </c>
      <c r="E7" s="523"/>
      <c r="F7" s="513"/>
      <c r="G7" s="513"/>
      <c r="H7" s="513"/>
      <c r="I7" s="513"/>
      <c r="J7" s="513"/>
      <c r="K7" s="513"/>
      <c r="L7" s="513"/>
      <c r="M7" s="513"/>
      <c r="N7" s="513"/>
      <c r="O7" s="513"/>
      <c r="P7" s="513"/>
      <c r="Q7" s="513"/>
      <c r="R7" s="513"/>
      <c r="S7" s="513"/>
      <c r="T7" s="513"/>
      <c r="U7" s="513"/>
      <c r="V7" s="513"/>
      <c r="W7" s="513"/>
      <c r="X7" s="513"/>
      <c r="Y7" s="513"/>
      <c r="Z7" s="513"/>
      <c r="AA7" s="513"/>
      <c r="AB7" s="513"/>
      <c r="AC7" s="513"/>
      <c r="AD7" s="521"/>
      <c r="AE7" s="514"/>
    </row>
    <row r="8" spans="2:31" x14ac:dyDescent="0.25">
      <c r="B8" s="512"/>
      <c r="C8" s="495" t="s">
        <v>3</v>
      </c>
      <c r="D8" s="496">
        <v>3.04E-2</v>
      </c>
      <c r="E8" s="513"/>
      <c r="F8" s="513"/>
      <c r="G8" s="513"/>
      <c r="H8" s="513"/>
      <c r="I8" s="513"/>
      <c r="J8" s="513"/>
      <c r="K8" s="513"/>
      <c r="L8" s="513"/>
      <c r="M8" s="513"/>
      <c r="N8" s="513"/>
      <c r="O8" s="513"/>
      <c r="P8" s="513"/>
      <c r="Q8" s="513"/>
      <c r="R8" s="513"/>
      <c r="S8" s="513"/>
      <c r="T8" s="513"/>
      <c r="U8" s="513"/>
      <c r="V8" s="513"/>
      <c r="W8" s="513"/>
      <c r="X8" s="513"/>
      <c r="Y8" s="513"/>
      <c r="Z8" s="513"/>
      <c r="AA8" s="513"/>
      <c r="AB8" s="513"/>
      <c r="AC8" s="513"/>
      <c r="AD8" s="521"/>
      <c r="AE8" s="514"/>
    </row>
    <row r="9" spans="2:31" x14ac:dyDescent="0.25">
      <c r="B9" s="512"/>
      <c r="C9" s="513"/>
      <c r="D9" s="515"/>
      <c r="E9" s="513"/>
      <c r="F9" s="513"/>
      <c r="G9" s="513"/>
      <c r="H9" s="513"/>
      <c r="I9" s="513"/>
      <c r="J9" s="513"/>
      <c r="K9" s="513"/>
      <c r="L9" s="513"/>
      <c r="M9" s="513"/>
      <c r="N9" s="513"/>
      <c r="O9" s="513"/>
      <c r="P9" s="513"/>
      <c r="Q9" s="513"/>
      <c r="R9" s="513"/>
      <c r="S9" s="513"/>
      <c r="T9" s="513"/>
      <c r="U9" s="513"/>
      <c r="V9" s="513"/>
      <c r="W9" s="513"/>
      <c r="X9" s="513"/>
      <c r="Y9" s="513"/>
      <c r="Z9" s="513"/>
      <c r="AA9" s="513"/>
      <c r="AB9" s="513"/>
      <c r="AC9" s="513"/>
      <c r="AD9" s="521"/>
      <c r="AE9" s="514"/>
    </row>
    <row r="10" spans="2:31" x14ac:dyDescent="0.25">
      <c r="B10" s="512"/>
      <c r="C10" s="495" t="s">
        <v>18</v>
      </c>
      <c r="D10" s="495"/>
      <c r="E10" s="524"/>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21"/>
      <c r="AE10" s="514"/>
    </row>
    <row r="11" spans="2:31" x14ac:dyDescent="0.25">
      <c r="B11" s="512"/>
      <c r="C11" s="495" t="s">
        <v>37</v>
      </c>
      <c r="D11" s="502">
        <f>E32+NPV(D7,F32:AC32)</f>
        <v>524.37440325052012</v>
      </c>
      <c r="E11" s="513"/>
      <c r="F11" s="513"/>
      <c r="G11" s="513"/>
      <c r="H11" s="513"/>
      <c r="I11" s="513"/>
      <c r="J11" s="513"/>
      <c r="K11" s="513"/>
      <c r="L11" s="513"/>
      <c r="M11" s="513"/>
      <c r="N11" s="513"/>
      <c r="O11" s="513"/>
      <c r="P11" s="513"/>
      <c r="Q11" s="513"/>
      <c r="R11" s="513"/>
      <c r="S11" s="513"/>
      <c r="T11" s="513"/>
      <c r="U11" s="513"/>
      <c r="V11" s="513"/>
      <c r="W11" s="513"/>
      <c r="X11" s="513"/>
      <c r="Y11" s="513"/>
      <c r="Z11" s="513"/>
      <c r="AA11" s="513"/>
      <c r="AB11" s="513"/>
      <c r="AC11" s="513"/>
      <c r="AD11" s="521"/>
      <c r="AE11" s="514"/>
    </row>
    <row r="12" spans="2:31" x14ac:dyDescent="0.25">
      <c r="B12" s="512"/>
      <c r="C12" s="495" t="s">
        <v>39</v>
      </c>
      <c r="D12" s="496">
        <f>IFERROR(IRR(E32:AC32),"No retorno")</f>
        <v>0.14672840824211275</v>
      </c>
      <c r="E12" s="513"/>
      <c r="F12" s="513"/>
      <c r="G12" s="513"/>
      <c r="H12" s="513"/>
      <c r="I12" s="513"/>
      <c r="J12" s="513"/>
      <c r="K12" s="513"/>
      <c r="L12" s="513"/>
      <c r="M12" s="513"/>
      <c r="N12" s="513"/>
      <c r="O12" s="513"/>
      <c r="P12" s="513"/>
      <c r="Q12" s="513"/>
      <c r="R12" s="513"/>
      <c r="S12" s="513"/>
      <c r="T12" s="513"/>
      <c r="U12" s="513"/>
      <c r="V12" s="513"/>
      <c r="W12" s="513"/>
      <c r="X12" s="513"/>
      <c r="Y12" s="513"/>
      <c r="Z12" s="513"/>
      <c r="AA12" s="513"/>
      <c r="AB12" s="513"/>
      <c r="AC12" s="513"/>
      <c r="AD12" s="521"/>
      <c r="AE12" s="514"/>
    </row>
    <row r="13" spans="2:31" x14ac:dyDescent="0.25">
      <c r="B13" s="512"/>
      <c r="C13" s="495" t="s">
        <v>40</v>
      </c>
      <c r="D13" s="503">
        <f>IFERROR((E31+NPV(D7,F31:AC31))/(E24+NPV(D7,F24:AC24)),"No hay beneficio")</f>
        <v>1.0375320855420249</v>
      </c>
      <c r="E13" s="513"/>
      <c r="F13" s="513"/>
      <c r="G13" s="513"/>
      <c r="H13" s="513"/>
      <c r="I13" s="513"/>
      <c r="J13" s="513"/>
      <c r="K13" s="513"/>
      <c r="L13" s="513"/>
      <c r="M13" s="513"/>
      <c r="N13" s="513"/>
      <c r="O13" s="513"/>
      <c r="P13" s="513"/>
      <c r="Q13" s="513"/>
      <c r="R13" s="513"/>
      <c r="S13" s="513"/>
      <c r="T13" s="513"/>
      <c r="U13" s="513"/>
      <c r="V13" s="513"/>
      <c r="W13" s="513"/>
      <c r="X13" s="513"/>
      <c r="Y13" s="513"/>
      <c r="Z13" s="513"/>
      <c r="AA13" s="513"/>
      <c r="AB13" s="513"/>
      <c r="AC13" s="513"/>
      <c r="AD13" s="521"/>
      <c r="AE13" s="514"/>
    </row>
    <row r="14" spans="2:31" x14ac:dyDescent="0.25">
      <c r="B14" s="512"/>
      <c r="C14" s="495" t="s">
        <v>48</v>
      </c>
      <c r="D14" s="504">
        <f>AD34</f>
        <v>9</v>
      </c>
      <c r="E14" s="521"/>
      <c r="F14" s="513"/>
      <c r="G14" s="513"/>
      <c r="H14" s="513"/>
      <c r="I14" s="513"/>
      <c r="J14" s="513"/>
      <c r="K14" s="513"/>
      <c r="L14" s="513"/>
      <c r="M14" s="513"/>
      <c r="N14" s="513"/>
      <c r="O14" s="513"/>
      <c r="P14" s="513"/>
      <c r="Q14" s="513"/>
      <c r="R14" s="513"/>
      <c r="S14" s="513"/>
      <c r="T14" s="513"/>
      <c r="U14" s="513"/>
      <c r="V14" s="513"/>
      <c r="W14" s="513"/>
      <c r="X14" s="513"/>
      <c r="Y14" s="513"/>
      <c r="Z14" s="513"/>
      <c r="AA14" s="513"/>
      <c r="AB14" s="513"/>
      <c r="AC14" s="513"/>
      <c r="AD14" s="521"/>
      <c r="AE14" s="514"/>
    </row>
    <row r="15" spans="2:31" x14ac:dyDescent="0.25">
      <c r="B15" s="512"/>
      <c r="C15" s="513"/>
      <c r="D15" s="505"/>
      <c r="E15" s="521"/>
      <c r="F15" s="513"/>
      <c r="G15" s="513"/>
      <c r="H15" s="513"/>
      <c r="I15" s="513"/>
      <c r="J15" s="513"/>
      <c r="K15" s="513"/>
      <c r="L15" s="513"/>
      <c r="M15" s="513"/>
      <c r="N15" s="513"/>
      <c r="O15" s="513"/>
      <c r="P15" s="513"/>
      <c r="Q15" s="513"/>
      <c r="R15" s="513"/>
      <c r="S15" s="513"/>
      <c r="T15" s="513"/>
      <c r="U15" s="513"/>
      <c r="V15" s="513"/>
      <c r="W15" s="513"/>
      <c r="X15" s="513"/>
      <c r="Y15" s="513"/>
      <c r="Z15" s="513"/>
      <c r="AA15" s="513"/>
      <c r="AB15" s="513"/>
      <c r="AC15" s="513"/>
      <c r="AD15" s="521"/>
      <c r="AE15" s="514"/>
    </row>
    <row r="16" spans="2:31" x14ac:dyDescent="0.25">
      <c r="B16" s="512"/>
      <c r="C16" s="513"/>
      <c r="D16" s="505"/>
      <c r="E16" s="513"/>
      <c r="F16" s="513"/>
      <c r="G16" s="513"/>
      <c r="H16" s="513"/>
      <c r="I16" s="544"/>
      <c r="J16" s="513"/>
      <c r="K16" s="513"/>
      <c r="L16" s="513"/>
      <c r="M16" s="513"/>
      <c r="N16" s="513"/>
      <c r="O16" s="513"/>
      <c r="P16" s="513"/>
      <c r="Q16" s="513"/>
      <c r="R16" s="513"/>
      <c r="S16" s="513"/>
      <c r="T16" s="513"/>
      <c r="U16" s="513"/>
      <c r="V16" s="513"/>
      <c r="W16" s="513"/>
      <c r="X16" s="513"/>
      <c r="Y16" s="513"/>
      <c r="Z16" s="513"/>
      <c r="AA16" s="513"/>
      <c r="AB16" s="513"/>
      <c r="AC16" s="513"/>
      <c r="AD16" s="521"/>
      <c r="AE16" s="514"/>
    </row>
    <row r="17" spans="2:31" x14ac:dyDescent="0.25">
      <c r="B17" s="512"/>
      <c r="C17" s="573" t="s">
        <v>11</v>
      </c>
      <c r="D17" s="574"/>
      <c r="E17" s="574"/>
      <c r="F17" s="574"/>
      <c r="G17" s="574"/>
      <c r="H17" s="574"/>
      <c r="I17" s="574"/>
      <c r="J17" s="574"/>
      <c r="K17" s="574"/>
      <c r="L17" s="574"/>
      <c r="M17" s="574"/>
      <c r="N17" s="574"/>
      <c r="O17" s="574"/>
      <c r="P17" s="574"/>
      <c r="Q17" s="574"/>
      <c r="R17" s="574"/>
      <c r="S17" s="574"/>
      <c r="T17" s="574"/>
      <c r="U17" s="574"/>
      <c r="V17" s="574"/>
      <c r="W17" s="574"/>
      <c r="X17" s="574"/>
      <c r="Y17" s="574"/>
      <c r="Z17" s="574"/>
      <c r="AA17" s="574"/>
      <c r="AB17" s="574"/>
      <c r="AC17" s="574"/>
      <c r="AD17" s="575"/>
      <c r="AE17" s="514"/>
    </row>
    <row r="18" spans="2:31" x14ac:dyDescent="0.25">
      <c r="B18" s="512"/>
      <c r="C18" s="563" t="s">
        <v>1564</v>
      </c>
      <c r="D18" s="563"/>
      <c r="E18" s="567" t="s">
        <v>47</v>
      </c>
      <c r="F18" s="567"/>
      <c r="G18" s="567"/>
      <c r="H18" s="567"/>
      <c r="I18" s="567"/>
      <c r="J18" s="567"/>
      <c r="K18" s="567"/>
      <c r="L18" s="567"/>
      <c r="M18" s="567"/>
      <c r="N18" s="567"/>
      <c r="O18" s="567"/>
      <c r="P18" s="567"/>
      <c r="Q18" s="567"/>
      <c r="R18" s="567"/>
      <c r="S18" s="567"/>
      <c r="T18" s="567"/>
      <c r="U18" s="567"/>
      <c r="V18" s="567"/>
      <c r="W18" s="567"/>
      <c r="X18" s="567"/>
      <c r="Y18" s="567"/>
      <c r="Z18" s="567"/>
      <c r="AA18" s="567"/>
      <c r="AB18" s="567"/>
      <c r="AC18" s="567"/>
      <c r="AD18" s="576" t="s">
        <v>8</v>
      </c>
      <c r="AE18" s="514"/>
    </row>
    <row r="19" spans="2:31" x14ac:dyDescent="0.25">
      <c r="B19" s="512"/>
      <c r="C19" s="563"/>
      <c r="D19" s="563"/>
      <c r="E19" s="501">
        <v>1</v>
      </c>
      <c r="F19" s="501">
        <v>2</v>
      </c>
      <c r="G19" s="501">
        <v>3</v>
      </c>
      <c r="H19" s="501">
        <v>4</v>
      </c>
      <c r="I19" s="501">
        <v>5</v>
      </c>
      <c r="J19" s="501">
        <v>6</v>
      </c>
      <c r="K19" s="501">
        <v>7</v>
      </c>
      <c r="L19" s="501">
        <v>8</v>
      </c>
      <c r="M19" s="501">
        <v>9</v>
      </c>
      <c r="N19" s="501">
        <v>10</v>
      </c>
      <c r="O19" s="501">
        <v>11</v>
      </c>
      <c r="P19" s="501">
        <v>12</v>
      </c>
      <c r="Q19" s="501">
        <v>13</v>
      </c>
      <c r="R19" s="501">
        <v>14</v>
      </c>
      <c r="S19" s="501">
        <v>15</v>
      </c>
      <c r="T19" s="501">
        <v>16</v>
      </c>
      <c r="U19" s="501">
        <v>17</v>
      </c>
      <c r="V19" s="501">
        <v>18</v>
      </c>
      <c r="W19" s="501">
        <v>19</v>
      </c>
      <c r="X19" s="501">
        <v>20</v>
      </c>
      <c r="Y19" s="501">
        <v>21</v>
      </c>
      <c r="Z19" s="501">
        <v>22</v>
      </c>
      <c r="AA19" s="501">
        <v>23</v>
      </c>
      <c r="AB19" s="501">
        <v>24</v>
      </c>
      <c r="AC19" s="501">
        <v>25</v>
      </c>
      <c r="AD19" s="576"/>
      <c r="AE19" s="514"/>
    </row>
    <row r="20" spans="2:31" ht="38.25" x14ac:dyDescent="0.25">
      <c r="B20" s="512"/>
      <c r="C20" s="562" t="s">
        <v>1563</v>
      </c>
      <c r="D20" s="506" t="s">
        <v>1534</v>
      </c>
      <c r="E20" s="525">
        <f>Preinversion!C11</f>
        <v>270</v>
      </c>
      <c r="F20" s="525"/>
      <c r="G20" s="525"/>
      <c r="H20" s="525"/>
      <c r="I20" s="525"/>
      <c r="J20" s="525"/>
      <c r="K20" s="525"/>
      <c r="L20" s="525"/>
      <c r="M20" s="525"/>
      <c r="N20" s="525"/>
      <c r="O20" s="525"/>
      <c r="P20" s="525"/>
      <c r="Q20" s="525"/>
      <c r="R20" s="525"/>
      <c r="S20" s="525"/>
      <c r="T20" s="525"/>
      <c r="U20" s="525"/>
      <c r="V20" s="525"/>
      <c r="W20" s="525"/>
      <c r="X20" s="525"/>
      <c r="Y20" s="525"/>
      <c r="Z20" s="525"/>
      <c r="AA20" s="525"/>
      <c r="AB20" s="525"/>
      <c r="AC20" s="525"/>
      <c r="AD20" s="526">
        <f>E20+NPV($D$7,F20:AC20)</f>
        <v>270</v>
      </c>
      <c r="AE20" s="514"/>
    </row>
    <row r="21" spans="2:31" ht="25.5" x14ac:dyDescent="0.25">
      <c r="B21" s="512"/>
      <c r="C21" s="562"/>
      <c r="D21" s="506" t="s">
        <v>1485</v>
      </c>
      <c r="E21" s="525">
        <f>SUM(E67,E69)/1000000</f>
        <v>6127.4820770084361</v>
      </c>
      <c r="F21" s="525">
        <f>SUM(F67:F69)/1000000</f>
        <v>6035.7460049357833</v>
      </c>
      <c r="G21" s="525">
        <f>SUM(G67:G69)/1000000</f>
        <v>0</v>
      </c>
      <c r="H21" s="525">
        <f>SUM(H67:H69)/1000000</f>
        <v>0</v>
      </c>
      <c r="I21" s="525">
        <v>0</v>
      </c>
      <c r="J21" s="525">
        <f>I21</f>
        <v>0</v>
      </c>
      <c r="K21" s="525">
        <f t="shared" ref="K21:AB21" si="0">J21</f>
        <v>0</v>
      </c>
      <c r="L21" s="525">
        <f t="shared" si="0"/>
        <v>0</v>
      </c>
      <c r="M21" s="525">
        <f t="shared" si="0"/>
        <v>0</v>
      </c>
      <c r="N21" s="525">
        <f t="shared" si="0"/>
        <v>0</v>
      </c>
      <c r="O21" s="525">
        <f t="shared" si="0"/>
        <v>0</v>
      </c>
      <c r="P21" s="525">
        <f t="shared" si="0"/>
        <v>0</v>
      </c>
      <c r="Q21" s="525">
        <f t="shared" si="0"/>
        <v>0</v>
      </c>
      <c r="R21" s="525">
        <f t="shared" si="0"/>
        <v>0</v>
      </c>
      <c r="S21" s="525">
        <f t="shared" si="0"/>
        <v>0</v>
      </c>
      <c r="T21" s="525">
        <f t="shared" si="0"/>
        <v>0</v>
      </c>
      <c r="U21" s="525">
        <f t="shared" si="0"/>
        <v>0</v>
      </c>
      <c r="V21" s="525">
        <f t="shared" si="0"/>
        <v>0</v>
      </c>
      <c r="W21" s="525">
        <f t="shared" si="0"/>
        <v>0</v>
      </c>
      <c r="X21" s="525">
        <f t="shared" si="0"/>
        <v>0</v>
      </c>
      <c r="Y21" s="525">
        <f t="shared" si="0"/>
        <v>0</v>
      </c>
      <c r="Z21" s="525">
        <f t="shared" si="0"/>
        <v>0</v>
      </c>
      <c r="AA21" s="525">
        <f t="shared" si="0"/>
        <v>0</v>
      </c>
      <c r="AB21" s="525">
        <f t="shared" si="0"/>
        <v>0</v>
      </c>
      <c r="AC21" s="525">
        <f>AB21</f>
        <v>0</v>
      </c>
      <c r="AD21" s="526">
        <f>E21+NPV($D$7,F21:AC21)</f>
        <v>11426.644504520098</v>
      </c>
      <c r="AE21" s="514"/>
    </row>
    <row r="22" spans="2:31" ht="63.75" x14ac:dyDescent="0.25">
      <c r="B22" s="512"/>
      <c r="C22" s="562"/>
      <c r="D22" s="506" t="s">
        <v>1535</v>
      </c>
      <c r="E22" s="525"/>
      <c r="F22" s="525">
        <f>F70/1000000</f>
        <v>237.18294759791229</v>
      </c>
      <c r="G22" s="525">
        <f t="shared" ref="G22:AC22" si="1">G70/1000000</f>
        <v>219.6065787796793</v>
      </c>
      <c r="H22" s="525">
        <f t="shared" si="1"/>
        <v>200.88774598826117</v>
      </c>
      <c r="I22" s="525">
        <f t="shared" si="1"/>
        <v>180.95218906540086</v>
      </c>
      <c r="J22" s="525">
        <f t="shared" si="1"/>
        <v>159.72082094255464</v>
      </c>
      <c r="K22" s="525">
        <f t="shared" si="1"/>
        <v>137.10941389172342</v>
      </c>
      <c r="L22" s="525">
        <f t="shared" si="1"/>
        <v>113.02826538258815</v>
      </c>
      <c r="M22" s="525">
        <f t="shared" si="1"/>
        <v>87.381842220359104</v>
      </c>
      <c r="N22" s="525">
        <f t="shared" si="1"/>
        <v>60.068401552585151</v>
      </c>
      <c r="O22" s="525">
        <f t="shared" si="1"/>
        <v>30.979587241405902</v>
      </c>
      <c r="P22" s="525">
        <f t="shared" si="1"/>
        <v>0</v>
      </c>
      <c r="Q22" s="525">
        <f t="shared" si="1"/>
        <v>0</v>
      </c>
      <c r="R22" s="525">
        <f t="shared" si="1"/>
        <v>0</v>
      </c>
      <c r="S22" s="525">
        <f t="shared" si="1"/>
        <v>0</v>
      </c>
      <c r="T22" s="525">
        <f t="shared" si="1"/>
        <v>0</v>
      </c>
      <c r="U22" s="525">
        <f t="shared" si="1"/>
        <v>0</v>
      </c>
      <c r="V22" s="525">
        <f t="shared" si="1"/>
        <v>0</v>
      </c>
      <c r="W22" s="525">
        <f t="shared" si="1"/>
        <v>0</v>
      </c>
      <c r="X22" s="525">
        <f t="shared" si="1"/>
        <v>0</v>
      </c>
      <c r="Y22" s="525">
        <f t="shared" si="1"/>
        <v>0</v>
      </c>
      <c r="Z22" s="525">
        <f t="shared" si="1"/>
        <v>0</v>
      </c>
      <c r="AA22" s="525">
        <f t="shared" si="1"/>
        <v>0</v>
      </c>
      <c r="AB22" s="525">
        <f t="shared" si="1"/>
        <v>0</v>
      </c>
      <c r="AC22" s="525">
        <f t="shared" si="1"/>
        <v>0</v>
      </c>
      <c r="AD22" s="526">
        <f>E22+NPV($D$7,F22:AC22)</f>
        <v>870.43970556904094</v>
      </c>
      <c r="AE22" s="514"/>
    </row>
    <row r="23" spans="2:31" ht="51" x14ac:dyDescent="0.25">
      <c r="B23" s="512"/>
      <c r="C23" s="562"/>
      <c r="D23" s="507" t="s">
        <v>4</v>
      </c>
      <c r="E23" s="525">
        <f>E60*$D$8/1000000</f>
        <v>0</v>
      </c>
      <c r="F23" s="525">
        <f>F60*$D$8/1000000</f>
        <v>0</v>
      </c>
      <c r="G23" s="525">
        <f>G60*$D$8/1000000</f>
        <v>234.05623975384617</v>
      </c>
      <c r="H23" s="525">
        <f>H60*$D$8/1000000</f>
        <v>234.05623975384617</v>
      </c>
      <c r="I23" s="525">
        <f>I60*$D$8/1000000</f>
        <v>234.05623975384617</v>
      </c>
      <c r="J23" s="525">
        <f>I23</f>
        <v>234.05623975384617</v>
      </c>
      <c r="K23" s="525">
        <f t="shared" ref="K23:AC23" si="2">J23</f>
        <v>234.05623975384617</v>
      </c>
      <c r="L23" s="525">
        <f t="shared" si="2"/>
        <v>234.05623975384617</v>
      </c>
      <c r="M23" s="525">
        <f t="shared" si="2"/>
        <v>234.05623975384617</v>
      </c>
      <c r="N23" s="525">
        <f t="shared" si="2"/>
        <v>234.05623975384617</v>
      </c>
      <c r="O23" s="525">
        <f t="shared" si="2"/>
        <v>234.05623975384617</v>
      </c>
      <c r="P23" s="525">
        <f t="shared" si="2"/>
        <v>234.05623975384617</v>
      </c>
      <c r="Q23" s="525">
        <f t="shared" si="2"/>
        <v>234.05623975384617</v>
      </c>
      <c r="R23" s="525">
        <f t="shared" si="2"/>
        <v>234.05623975384617</v>
      </c>
      <c r="S23" s="525">
        <f t="shared" si="2"/>
        <v>234.05623975384617</v>
      </c>
      <c r="T23" s="525">
        <f t="shared" si="2"/>
        <v>234.05623975384617</v>
      </c>
      <c r="U23" s="525">
        <f t="shared" si="2"/>
        <v>234.05623975384617</v>
      </c>
      <c r="V23" s="525">
        <f t="shared" si="2"/>
        <v>234.05623975384617</v>
      </c>
      <c r="W23" s="525">
        <f t="shared" si="2"/>
        <v>234.05623975384617</v>
      </c>
      <c r="X23" s="525">
        <f t="shared" si="2"/>
        <v>234.05623975384617</v>
      </c>
      <c r="Y23" s="525">
        <f t="shared" si="2"/>
        <v>234.05623975384617</v>
      </c>
      <c r="Z23" s="525">
        <f t="shared" si="2"/>
        <v>234.05623975384617</v>
      </c>
      <c r="AA23" s="525">
        <f t="shared" si="2"/>
        <v>234.05623975384617</v>
      </c>
      <c r="AB23" s="525">
        <f t="shared" si="2"/>
        <v>234.05623975384617</v>
      </c>
      <c r="AC23" s="525">
        <f t="shared" si="2"/>
        <v>234.05623975384617</v>
      </c>
      <c r="AD23" s="526">
        <f t="shared" ref="AD23:AD32" si="3">E23+NPV($D$7,F23:AC23)</f>
        <v>1404.2791095263069</v>
      </c>
      <c r="AE23" s="514"/>
    </row>
    <row r="24" spans="2:31" ht="51" x14ac:dyDescent="0.25">
      <c r="B24" s="512"/>
      <c r="C24" s="562"/>
      <c r="D24" s="497" t="s">
        <v>25</v>
      </c>
      <c r="E24" s="525">
        <f>SUM(E20:E23)</f>
        <v>6397.4820770084361</v>
      </c>
      <c r="F24" s="525">
        <f t="shared" ref="F24:AC24" si="4">SUM(F21:F23)</f>
        <v>6272.9289525336953</v>
      </c>
      <c r="G24" s="525">
        <f t="shared" si="4"/>
        <v>453.66281853352547</v>
      </c>
      <c r="H24" s="525">
        <f t="shared" si="4"/>
        <v>434.94398574210732</v>
      </c>
      <c r="I24" s="525">
        <f t="shared" si="4"/>
        <v>415.008428819247</v>
      </c>
      <c r="J24" s="525">
        <f t="shared" si="4"/>
        <v>393.77706069640078</v>
      </c>
      <c r="K24" s="525">
        <f t="shared" si="4"/>
        <v>371.16565364556959</v>
      </c>
      <c r="L24" s="525">
        <f t="shared" si="4"/>
        <v>347.0845051364343</v>
      </c>
      <c r="M24" s="525">
        <f t="shared" si="4"/>
        <v>321.43808197420526</v>
      </c>
      <c r="N24" s="525">
        <f t="shared" si="4"/>
        <v>294.12464130643133</v>
      </c>
      <c r="O24" s="525">
        <f t="shared" si="4"/>
        <v>265.03582699525208</v>
      </c>
      <c r="P24" s="525">
        <f t="shared" si="4"/>
        <v>234.05623975384617</v>
      </c>
      <c r="Q24" s="525">
        <f t="shared" si="4"/>
        <v>234.05623975384617</v>
      </c>
      <c r="R24" s="525">
        <f t="shared" si="4"/>
        <v>234.05623975384617</v>
      </c>
      <c r="S24" s="525">
        <f t="shared" si="4"/>
        <v>234.05623975384617</v>
      </c>
      <c r="T24" s="525">
        <f t="shared" si="4"/>
        <v>234.05623975384617</v>
      </c>
      <c r="U24" s="525">
        <f t="shared" si="4"/>
        <v>234.05623975384617</v>
      </c>
      <c r="V24" s="525">
        <f t="shared" si="4"/>
        <v>234.05623975384617</v>
      </c>
      <c r="W24" s="525">
        <f t="shared" si="4"/>
        <v>234.05623975384617</v>
      </c>
      <c r="X24" s="525">
        <f t="shared" si="4"/>
        <v>234.05623975384617</v>
      </c>
      <c r="Y24" s="525">
        <f t="shared" si="4"/>
        <v>234.05623975384617</v>
      </c>
      <c r="Z24" s="525">
        <f t="shared" si="4"/>
        <v>234.05623975384617</v>
      </c>
      <c r="AA24" s="525">
        <f t="shared" si="4"/>
        <v>234.05623975384617</v>
      </c>
      <c r="AB24" s="525">
        <f t="shared" si="4"/>
        <v>234.05623975384617</v>
      </c>
      <c r="AC24" s="525">
        <f t="shared" si="4"/>
        <v>234.05623975384617</v>
      </c>
      <c r="AD24" s="526">
        <f t="shared" si="3"/>
        <v>13971.363319615448</v>
      </c>
      <c r="AE24" s="514"/>
    </row>
    <row r="25" spans="2:31" ht="30.75" customHeight="1" x14ac:dyDescent="0.25">
      <c r="B25" s="512"/>
      <c r="C25" s="577" t="s">
        <v>1562</v>
      </c>
      <c r="D25" s="506" t="s">
        <v>1413</v>
      </c>
      <c r="E25" s="525">
        <f>$D$47*E58/1000000</f>
        <v>0</v>
      </c>
      <c r="F25" s="525">
        <f>$D$47*F58/1000000</f>
        <v>0</v>
      </c>
      <c r="G25" s="525">
        <f>$D$47*G58/1000000</f>
        <v>0</v>
      </c>
      <c r="H25" s="525">
        <f>$D$47*H58/1000000</f>
        <v>0</v>
      </c>
      <c r="I25" s="525">
        <f>$D$47*I58/1000000</f>
        <v>526.02591960107475</v>
      </c>
      <c r="J25" s="525">
        <f>I25</f>
        <v>526.02591960107475</v>
      </c>
      <c r="K25" s="525">
        <f t="shared" ref="K25:AC25" si="5">J25</f>
        <v>526.02591960107475</v>
      </c>
      <c r="L25" s="525">
        <f t="shared" si="5"/>
        <v>526.02591960107475</v>
      </c>
      <c r="M25" s="525">
        <f t="shared" si="5"/>
        <v>526.02591960107475</v>
      </c>
      <c r="N25" s="525">
        <f t="shared" si="5"/>
        <v>526.02591960107475</v>
      </c>
      <c r="O25" s="525">
        <f t="shared" si="5"/>
        <v>526.02591960107475</v>
      </c>
      <c r="P25" s="525">
        <f t="shared" si="5"/>
        <v>526.02591960107475</v>
      </c>
      <c r="Q25" s="525">
        <f t="shared" si="5"/>
        <v>526.02591960107475</v>
      </c>
      <c r="R25" s="525">
        <f t="shared" si="5"/>
        <v>526.02591960107475</v>
      </c>
      <c r="S25" s="525">
        <f t="shared" si="5"/>
        <v>526.02591960107475</v>
      </c>
      <c r="T25" s="525">
        <f t="shared" si="5"/>
        <v>526.02591960107475</v>
      </c>
      <c r="U25" s="525">
        <f t="shared" si="5"/>
        <v>526.02591960107475</v>
      </c>
      <c r="V25" s="525">
        <f t="shared" si="5"/>
        <v>526.02591960107475</v>
      </c>
      <c r="W25" s="525">
        <f t="shared" si="5"/>
        <v>526.02591960107475</v>
      </c>
      <c r="X25" s="525">
        <f t="shared" si="5"/>
        <v>526.02591960107475</v>
      </c>
      <c r="Y25" s="525">
        <f t="shared" si="5"/>
        <v>526.02591960107475</v>
      </c>
      <c r="Z25" s="525">
        <f t="shared" si="5"/>
        <v>526.02591960107475</v>
      </c>
      <c r="AA25" s="525">
        <f t="shared" si="5"/>
        <v>526.02591960107475</v>
      </c>
      <c r="AB25" s="525">
        <f t="shared" si="5"/>
        <v>526.02591960107475</v>
      </c>
      <c r="AC25" s="525">
        <f t="shared" si="5"/>
        <v>526.02591960107475</v>
      </c>
      <c r="AD25" s="526">
        <f t="shared" si="3"/>
        <v>2394.5650194694958</v>
      </c>
      <c r="AE25" s="514"/>
    </row>
    <row r="26" spans="2:31" ht="76.5" x14ac:dyDescent="0.25">
      <c r="B26" s="512"/>
      <c r="C26" s="578"/>
      <c r="D26" s="507" t="s">
        <v>7</v>
      </c>
      <c r="E26" s="525">
        <f>E59/1000000</f>
        <v>0</v>
      </c>
      <c r="F26" s="525">
        <f>F59/1000000</f>
        <v>1309.3395013407701</v>
      </c>
      <c r="G26" s="525">
        <f>G59/1000000</f>
        <v>1309.3395013407701</v>
      </c>
      <c r="H26" s="525">
        <f>H59/1000000</f>
        <v>1309.3395013407701</v>
      </c>
      <c r="I26" s="525">
        <f>I59/1000000</f>
        <v>1309.3395013407701</v>
      </c>
      <c r="J26" s="525">
        <f t="shared" ref="J26:AC26" si="6">I26</f>
        <v>1309.3395013407701</v>
      </c>
      <c r="K26" s="525">
        <f t="shared" si="6"/>
        <v>1309.3395013407701</v>
      </c>
      <c r="L26" s="525">
        <f t="shared" si="6"/>
        <v>1309.3395013407701</v>
      </c>
      <c r="M26" s="525">
        <f t="shared" si="6"/>
        <v>1309.3395013407701</v>
      </c>
      <c r="N26" s="525">
        <f t="shared" si="6"/>
        <v>1309.3395013407701</v>
      </c>
      <c r="O26" s="525">
        <f t="shared" si="6"/>
        <v>1309.3395013407701</v>
      </c>
      <c r="P26" s="525">
        <f t="shared" si="6"/>
        <v>1309.3395013407701</v>
      </c>
      <c r="Q26" s="525">
        <f t="shared" si="6"/>
        <v>1309.3395013407701</v>
      </c>
      <c r="R26" s="525">
        <f t="shared" si="6"/>
        <v>1309.3395013407701</v>
      </c>
      <c r="S26" s="525">
        <f t="shared" si="6"/>
        <v>1309.3395013407701</v>
      </c>
      <c r="T26" s="525">
        <f t="shared" si="6"/>
        <v>1309.3395013407701</v>
      </c>
      <c r="U26" s="525">
        <f t="shared" si="6"/>
        <v>1309.3395013407701</v>
      </c>
      <c r="V26" s="525">
        <f t="shared" si="6"/>
        <v>1309.3395013407701</v>
      </c>
      <c r="W26" s="525">
        <f t="shared" si="6"/>
        <v>1309.3395013407701</v>
      </c>
      <c r="X26" s="525">
        <f t="shared" si="6"/>
        <v>1309.3395013407701</v>
      </c>
      <c r="Y26" s="525">
        <f t="shared" si="6"/>
        <v>1309.3395013407701</v>
      </c>
      <c r="Z26" s="525">
        <f t="shared" si="6"/>
        <v>1309.3395013407701</v>
      </c>
      <c r="AA26" s="525">
        <f t="shared" si="6"/>
        <v>1309.3395013407701</v>
      </c>
      <c r="AB26" s="525">
        <f t="shared" si="6"/>
        <v>1309.3395013407701</v>
      </c>
      <c r="AC26" s="525">
        <f t="shared" si="6"/>
        <v>1309.3395013407701</v>
      </c>
      <c r="AD26" s="526">
        <f t="shared" si="3"/>
        <v>9005.2625094370469</v>
      </c>
      <c r="AE26" s="514"/>
    </row>
    <row r="27" spans="2:31" ht="63.75" x14ac:dyDescent="0.25">
      <c r="B27" s="512"/>
      <c r="C27" s="578"/>
      <c r="D27" s="506" t="s">
        <v>6</v>
      </c>
      <c r="E27" s="525">
        <f>E23</f>
        <v>0</v>
      </c>
      <c r="F27" s="525">
        <f t="shared" ref="F27:AC27" si="7">F23</f>
        <v>0</v>
      </c>
      <c r="G27" s="525">
        <f t="shared" si="7"/>
        <v>234.05623975384617</v>
      </c>
      <c r="H27" s="525">
        <f t="shared" si="7"/>
        <v>234.05623975384617</v>
      </c>
      <c r="I27" s="525">
        <f t="shared" si="7"/>
        <v>234.05623975384617</v>
      </c>
      <c r="J27" s="525">
        <f t="shared" si="7"/>
        <v>234.05623975384617</v>
      </c>
      <c r="K27" s="525">
        <f t="shared" si="7"/>
        <v>234.05623975384617</v>
      </c>
      <c r="L27" s="525">
        <f t="shared" si="7"/>
        <v>234.05623975384617</v>
      </c>
      <c r="M27" s="525">
        <f t="shared" si="7"/>
        <v>234.05623975384617</v>
      </c>
      <c r="N27" s="525">
        <f t="shared" si="7"/>
        <v>234.05623975384617</v>
      </c>
      <c r="O27" s="525">
        <f t="shared" si="7"/>
        <v>234.05623975384617</v>
      </c>
      <c r="P27" s="525">
        <f t="shared" si="7"/>
        <v>234.05623975384617</v>
      </c>
      <c r="Q27" s="525">
        <f t="shared" si="7"/>
        <v>234.05623975384617</v>
      </c>
      <c r="R27" s="525">
        <f t="shared" si="7"/>
        <v>234.05623975384617</v>
      </c>
      <c r="S27" s="525">
        <f t="shared" si="7"/>
        <v>234.05623975384617</v>
      </c>
      <c r="T27" s="525">
        <f t="shared" si="7"/>
        <v>234.05623975384617</v>
      </c>
      <c r="U27" s="525">
        <f t="shared" si="7"/>
        <v>234.05623975384617</v>
      </c>
      <c r="V27" s="525">
        <f t="shared" si="7"/>
        <v>234.05623975384617</v>
      </c>
      <c r="W27" s="525">
        <f t="shared" si="7"/>
        <v>234.05623975384617</v>
      </c>
      <c r="X27" s="525">
        <f t="shared" si="7"/>
        <v>234.05623975384617</v>
      </c>
      <c r="Y27" s="525">
        <f t="shared" si="7"/>
        <v>234.05623975384617</v>
      </c>
      <c r="Z27" s="525">
        <f t="shared" si="7"/>
        <v>234.05623975384617</v>
      </c>
      <c r="AA27" s="525">
        <f t="shared" si="7"/>
        <v>234.05623975384617</v>
      </c>
      <c r="AB27" s="525">
        <f t="shared" si="7"/>
        <v>234.05623975384617</v>
      </c>
      <c r="AC27" s="525">
        <f t="shared" si="7"/>
        <v>234.05623975384617</v>
      </c>
      <c r="AD27" s="526">
        <f t="shared" si="3"/>
        <v>1404.2791095263069</v>
      </c>
      <c r="AE27" s="514"/>
    </row>
    <row r="28" spans="2:31" ht="76.5" x14ac:dyDescent="0.25">
      <c r="B28" s="512"/>
      <c r="C28" s="578"/>
      <c r="D28" s="506" t="s">
        <v>1536</v>
      </c>
      <c r="E28" s="525">
        <f>E61*$D$46/1000000</f>
        <v>0</v>
      </c>
      <c r="F28" s="525">
        <f>F61*$D$46/1000000</f>
        <v>0</v>
      </c>
      <c r="G28" s="525">
        <f>G61*$D$46/1000000</f>
        <v>3.5604531073198791</v>
      </c>
      <c r="H28" s="525">
        <f>H61*$D$46/1000000</f>
        <v>3.3941576986576671</v>
      </c>
      <c r="I28" s="525">
        <f>I61*$D$46/1000000</f>
        <v>3.2443648384679116</v>
      </c>
      <c r="J28" s="525">
        <f>I28</f>
        <v>3.2443648384679116</v>
      </c>
      <c r="K28" s="525">
        <f t="shared" ref="K28:Z30" si="8">J28</f>
        <v>3.2443648384679116</v>
      </c>
      <c r="L28" s="525">
        <f t="shared" si="8"/>
        <v>3.2443648384679116</v>
      </c>
      <c r="M28" s="525">
        <f t="shared" si="8"/>
        <v>3.2443648384679116</v>
      </c>
      <c r="N28" s="525">
        <f t="shared" si="8"/>
        <v>3.2443648384679116</v>
      </c>
      <c r="O28" s="525">
        <f t="shared" si="8"/>
        <v>3.2443648384679116</v>
      </c>
      <c r="P28" s="525">
        <f t="shared" si="8"/>
        <v>3.2443648384679116</v>
      </c>
      <c r="Q28" s="525">
        <f t="shared" si="8"/>
        <v>3.2443648384679116</v>
      </c>
      <c r="R28" s="525">
        <f t="shared" si="8"/>
        <v>3.2443648384679116</v>
      </c>
      <c r="S28" s="525">
        <f t="shared" si="8"/>
        <v>3.2443648384679116</v>
      </c>
      <c r="T28" s="525">
        <f t="shared" si="8"/>
        <v>3.2443648384679116</v>
      </c>
      <c r="U28" s="525">
        <f t="shared" si="8"/>
        <v>3.2443648384679116</v>
      </c>
      <c r="V28" s="525">
        <f t="shared" si="8"/>
        <v>3.2443648384679116</v>
      </c>
      <c r="W28" s="525">
        <f t="shared" si="8"/>
        <v>3.2443648384679116</v>
      </c>
      <c r="X28" s="525">
        <f t="shared" si="8"/>
        <v>3.2443648384679116</v>
      </c>
      <c r="Y28" s="525">
        <f t="shared" si="8"/>
        <v>3.2443648384679116</v>
      </c>
      <c r="Z28" s="525">
        <f t="shared" si="8"/>
        <v>3.2443648384679116</v>
      </c>
      <c r="AA28" s="525">
        <f t="shared" ref="AA28:AC30" si="9">Z28</f>
        <v>3.2443648384679116</v>
      </c>
      <c r="AB28" s="525">
        <f t="shared" si="9"/>
        <v>3.2443648384679116</v>
      </c>
      <c r="AC28" s="525">
        <f t="shared" si="9"/>
        <v>3.2443648384679116</v>
      </c>
      <c r="AD28" s="526">
        <f t="shared" si="3"/>
        <v>19.810399876743624</v>
      </c>
      <c r="AE28" s="514"/>
    </row>
    <row r="29" spans="2:31" ht="39.75" customHeight="1" x14ac:dyDescent="0.25">
      <c r="B29" s="512"/>
      <c r="C29" s="578"/>
      <c r="D29" s="506" t="s">
        <v>1463</v>
      </c>
      <c r="E29" s="525">
        <f>H41*D40/1000000</f>
        <v>1436.5317725008822</v>
      </c>
      <c r="F29" s="525">
        <v>0</v>
      </c>
      <c r="G29" s="525">
        <v>0</v>
      </c>
      <c r="H29" s="525">
        <v>0</v>
      </c>
      <c r="I29" s="525">
        <v>0</v>
      </c>
      <c r="J29" s="525">
        <f>I29</f>
        <v>0</v>
      </c>
      <c r="K29" s="525">
        <f t="shared" si="8"/>
        <v>0</v>
      </c>
      <c r="L29" s="525">
        <f t="shared" si="8"/>
        <v>0</v>
      </c>
      <c r="M29" s="525">
        <f t="shared" si="8"/>
        <v>0</v>
      </c>
      <c r="N29" s="525">
        <f t="shared" si="8"/>
        <v>0</v>
      </c>
      <c r="O29" s="525">
        <f t="shared" si="8"/>
        <v>0</v>
      </c>
      <c r="P29" s="525">
        <f t="shared" si="8"/>
        <v>0</v>
      </c>
      <c r="Q29" s="525">
        <f t="shared" si="8"/>
        <v>0</v>
      </c>
      <c r="R29" s="525">
        <f t="shared" si="8"/>
        <v>0</v>
      </c>
      <c r="S29" s="525">
        <f t="shared" si="8"/>
        <v>0</v>
      </c>
      <c r="T29" s="525">
        <f t="shared" si="8"/>
        <v>0</v>
      </c>
      <c r="U29" s="525">
        <f t="shared" si="8"/>
        <v>0</v>
      </c>
      <c r="V29" s="525">
        <f t="shared" si="8"/>
        <v>0</v>
      </c>
      <c r="W29" s="525">
        <f t="shared" si="8"/>
        <v>0</v>
      </c>
      <c r="X29" s="525">
        <f t="shared" si="8"/>
        <v>0</v>
      </c>
      <c r="Y29" s="525">
        <f t="shared" si="8"/>
        <v>0</v>
      </c>
      <c r="Z29" s="525">
        <f t="shared" si="8"/>
        <v>0</v>
      </c>
      <c r="AA29" s="525">
        <f t="shared" si="9"/>
        <v>0</v>
      </c>
      <c r="AB29" s="525">
        <f t="shared" si="9"/>
        <v>0</v>
      </c>
      <c r="AC29" s="525">
        <f t="shared" si="9"/>
        <v>0</v>
      </c>
      <c r="AD29" s="526">
        <f t="shared" si="3"/>
        <v>1436.5317725008822</v>
      </c>
      <c r="AE29" s="514"/>
    </row>
    <row r="30" spans="2:31" ht="102" x14ac:dyDescent="0.25">
      <c r="B30" s="512"/>
      <c r="C30" s="578"/>
      <c r="D30" s="506" t="s">
        <v>1414</v>
      </c>
      <c r="E30" s="525">
        <f>$D$47*E57/1000000</f>
        <v>0</v>
      </c>
      <c r="F30" s="525">
        <f>$D$47*F57/1000000</f>
        <v>0</v>
      </c>
      <c r="G30" s="525">
        <f>$D$47*G57/1000000</f>
        <v>38.046166761836531</v>
      </c>
      <c r="H30" s="525">
        <f>$D$47*H57/1000000</f>
        <v>38.764018964890042</v>
      </c>
      <c r="I30" s="525">
        <f>$D$47*I57/1000000</f>
        <v>39.481871167943559</v>
      </c>
      <c r="J30" s="525">
        <f>I30</f>
        <v>39.481871167943559</v>
      </c>
      <c r="K30" s="525">
        <f t="shared" si="8"/>
        <v>39.481871167943559</v>
      </c>
      <c r="L30" s="525">
        <f t="shared" si="8"/>
        <v>39.481871167943559</v>
      </c>
      <c r="M30" s="525">
        <f t="shared" si="8"/>
        <v>39.481871167943559</v>
      </c>
      <c r="N30" s="525">
        <f t="shared" si="8"/>
        <v>39.481871167943559</v>
      </c>
      <c r="O30" s="525">
        <f t="shared" si="8"/>
        <v>39.481871167943559</v>
      </c>
      <c r="P30" s="525">
        <f t="shared" si="8"/>
        <v>39.481871167943559</v>
      </c>
      <c r="Q30" s="525">
        <f t="shared" si="8"/>
        <v>39.481871167943559</v>
      </c>
      <c r="R30" s="525">
        <f t="shared" si="8"/>
        <v>39.481871167943559</v>
      </c>
      <c r="S30" s="525">
        <f t="shared" si="8"/>
        <v>39.481871167943559</v>
      </c>
      <c r="T30" s="525">
        <f t="shared" si="8"/>
        <v>39.481871167943559</v>
      </c>
      <c r="U30" s="525">
        <f t="shared" si="8"/>
        <v>39.481871167943559</v>
      </c>
      <c r="V30" s="525">
        <f t="shared" si="8"/>
        <v>39.481871167943559</v>
      </c>
      <c r="W30" s="525">
        <f t="shared" si="8"/>
        <v>39.481871167943559</v>
      </c>
      <c r="X30" s="525">
        <f t="shared" si="8"/>
        <v>39.481871167943559</v>
      </c>
      <c r="Y30" s="525">
        <f t="shared" si="8"/>
        <v>39.481871167943559</v>
      </c>
      <c r="Z30" s="525">
        <f t="shared" si="8"/>
        <v>39.481871167943559</v>
      </c>
      <c r="AA30" s="525">
        <f t="shared" si="9"/>
        <v>39.481871167943559</v>
      </c>
      <c r="AB30" s="525">
        <f t="shared" si="9"/>
        <v>39.481871167943559</v>
      </c>
      <c r="AC30" s="525">
        <f t="shared" si="9"/>
        <v>39.481871167943559</v>
      </c>
      <c r="AD30" s="526">
        <f t="shared" si="3"/>
        <v>235.28891205548823</v>
      </c>
      <c r="AE30" s="514"/>
    </row>
    <row r="31" spans="2:31" ht="63.75" x14ac:dyDescent="0.25">
      <c r="B31" s="512"/>
      <c r="C31" s="579"/>
      <c r="D31" s="497" t="s">
        <v>26</v>
      </c>
      <c r="E31" s="525">
        <f>SUM(E25:E30)</f>
        <v>1436.5317725008822</v>
      </c>
      <c r="F31" s="525">
        <f t="shared" ref="F31:AC31" si="10">SUM(F25:F30)</f>
        <v>1309.3395013407701</v>
      </c>
      <c r="G31" s="525">
        <f t="shared" si="10"/>
        <v>1585.0023609637728</v>
      </c>
      <c r="H31" s="525">
        <f t="shared" si="10"/>
        <v>1585.5539177581641</v>
      </c>
      <c r="I31" s="525">
        <f t="shared" si="10"/>
        <v>2112.1478967021026</v>
      </c>
      <c r="J31" s="525">
        <f t="shared" si="10"/>
        <v>2112.1478967021026</v>
      </c>
      <c r="K31" s="525">
        <f t="shared" si="10"/>
        <v>2112.1478967021026</v>
      </c>
      <c r="L31" s="525">
        <f t="shared" si="10"/>
        <v>2112.1478967021026</v>
      </c>
      <c r="M31" s="525">
        <f t="shared" si="10"/>
        <v>2112.1478967021026</v>
      </c>
      <c r="N31" s="525">
        <f t="shared" si="10"/>
        <v>2112.1478967021026</v>
      </c>
      <c r="O31" s="525">
        <f t="shared" si="10"/>
        <v>2112.1478967021026</v>
      </c>
      <c r="P31" s="525">
        <f t="shared" si="10"/>
        <v>2112.1478967021026</v>
      </c>
      <c r="Q31" s="525">
        <f t="shared" si="10"/>
        <v>2112.1478967021026</v>
      </c>
      <c r="R31" s="525">
        <f t="shared" si="10"/>
        <v>2112.1478967021026</v>
      </c>
      <c r="S31" s="525">
        <f t="shared" si="10"/>
        <v>2112.1478967021026</v>
      </c>
      <c r="T31" s="525">
        <f t="shared" si="10"/>
        <v>2112.1478967021026</v>
      </c>
      <c r="U31" s="525">
        <f t="shared" si="10"/>
        <v>2112.1478967021026</v>
      </c>
      <c r="V31" s="525">
        <f t="shared" si="10"/>
        <v>2112.1478967021026</v>
      </c>
      <c r="W31" s="525">
        <f t="shared" si="10"/>
        <v>2112.1478967021026</v>
      </c>
      <c r="X31" s="525">
        <f t="shared" si="10"/>
        <v>2112.1478967021026</v>
      </c>
      <c r="Y31" s="525">
        <f t="shared" si="10"/>
        <v>2112.1478967021026</v>
      </c>
      <c r="Z31" s="525">
        <f t="shared" si="10"/>
        <v>2112.1478967021026</v>
      </c>
      <c r="AA31" s="525">
        <f t="shared" si="10"/>
        <v>2112.1478967021026</v>
      </c>
      <c r="AB31" s="525">
        <f t="shared" si="10"/>
        <v>2112.1478967021026</v>
      </c>
      <c r="AC31" s="525">
        <f t="shared" si="10"/>
        <v>2112.1478967021026</v>
      </c>
      <c r="AD31" s="526">
        <f t="shared" si="3"/>
        <v>14495.737722865962</v>
      </c>
      <c r="AE31" s="514"/>
    </row>
    <row r="32" spans="2:31" x14ac:dyDescent="0.25">
      <c r="B32" s="512"/>
      <c r="C32" s="563" t="s">
        <v>14</v>
      </c>
      <c r="D32" s="563"/>
      <c r="E32" s="525">
        <f t="shared" ref="E32:AC32" si="11">E31-E24</f>
        <v>-4960.9503045075544</v>
      </c>
      <c r="F32" s="525">
        <f t="shared" si="11"/>
        <v>-4963.5894511929255</v>
      </c>
      <c r="G32" s="525">
        <f t="shared" si="11"/>
        <v>1131.3395424302473</v>
      </c>
      <c r="H32" s="525">
        <f t="shared" si="11"/>
        <v>1150.6099320160567</v>
      </c>
      <c r="I32" s="525">
        <f t="shared" si="11"/>
        <v>1697.1394678828556</v>
      </c>
      <c r="J32" s="525">
        <f t="shared" si="11"/>
        <v>1718.3708360057017</v>
      </c>
      <c r="K32" s="525">
        <f t="shared" si="11"/>
        <v>1740.982243056533</v>
      </c>
      <c r="L32" s="525">
        <f t="shared" si="11"/>
        <v>1765.0633915656683</v>
      </c>
      <c r="M32" s="525">
        <f t="shared" si="11"/>
        <v>1790.7098147278973</v>
      </c>
      <c r="N32" s="525">
        <f t="shared" si="11"/>
        <v>1818.0232553956712</v>
      </c>
      <c r="O32" s="525">
        <f t="shared" si="11"/>
        <v>1847.1120697068504</v>
      </c>
      <c r="P32" s="525">
        <f t="shared" si="11"/>
        <v>1878.0916569482565</v>
      </c>
      <c r="Q32" s="525">
        <f t="shared" si="11"/>
        <v>1878.0916569482565</v>
      </c>
      <c r="R32" s="525">
        <f t="shared" si="11"/>
        <v>1878.0916569482565</v>
      </c>
      <c r="S32" s="525">
        <f t="shared" si="11"/>
        <v>1878.0916569482565</v>
      </c>
      <c r="T32" s="525">
        <f t="shared" si="11"/>
        <v>1878.0916569482565</v>
      </c>
      <c r="U32" s="525">
        <f t="shared" si="11"/>
        <v>1878.0916569482565</v>
      </c>
      <c r="V32" s="525">
        <f t="shared" si="11"/>
        <v>1878.0916569482565</v>
      </c>
      <c r="W32" s="525">
        <f t="shared" si="11"/>
        <v>1878.0916569482565</v>
      </c>
      <c r="X32" s="525">
        <f t="shared" si="11"/>
        <v>1878.0916569482565</v>
      </c>
      <c r="Y32" s="525">
        <f t="shared" si="11"/>
        <v>1878.0916569482565</v>
      </c>
      <c r="Z32" s="525">
        <f t="shared" si="11"/>
        <v>1878.0916569482565</v>
      </c>
      <c r="AA32" s="525">
        <f t="shared" si="11"/>
        <v>1878.0916569482565</v>
      </c>
      <c r="AB32" s="525">
        <f t="shared" si="11"/>
        <v>1878.0916569482565</v>
      </c>
      <c r="AC32" s="525">
        <f t="shared" si="11"/>
        <v>1878.0916569482565</v>
      </c>
      <c r="AD32" s="526">
        <f t="shared" si="3"/>
        <v>524.37440325052012</v>
      </c>
      <c r="AE32" s="514"/>
    </row>
    <row r="33" spans="2:31" ht="38.25" x14ac:dyDescent="0.25">
      <c r="B33" s="512"/>
      <c r="C33" s="563" t="s">
        <v>5</v>
      </c>
      <c r="D33" s="506" t="s">
        <v>46</v>
      </c>
      <c r="E33" s="525">
        <f>E32</f>
        <v>-4960.9503045075544</v>
      </c>
      <c r="F33" s="525">
        <f t="shared" ref="F33:AC33" si="12">F32+E33</f>
        <v>-9924.5397557004799</v>
      </c>
      <c r="G33" s="525">
        <f t="shared" si="12"/>
        <v>-8793.2002132702328</v>
      </c>
      <c r="H33" s="525">
        <f t="shared" si="12"/>
        <v>-7642.5902812541763</v>
      </c>
      <c r="I33" s="525">
        <f t="shared" si="12"/>
        <v>-5945.4508133713207</v>
      </c>
      <c r="J33" s="525">
        <f t="shared" si="12"/>
        <v>-4227.079977365619</v>
      </c>
      <c r="K33" s="525">
        <f t="shared" si="12"/>
        <v>-2486.0977343090863</v>
      </c>
      <c r="L33" s="525">
        <f t="shared" si="12"/>
        <v>-721.03434274341794</v>
      </c>
      <c r="M33" s="525">
        <f t="shared" si="12"/>
        <v>1069.6754719844794</v>
      </c>
      <c r="N33" s="525">
        <f t="shared" si="12"/>
        <v>2887.6987273801506</v>
      </c>
      <c r="O33" s="525">
        <f t="shared" si="12"/>
        <v>4734.8107970870005</v>
      </c>
      <c r="P33" s="525">
        <f t="shared" si="12"/>
        <v>6612.9024540352566</v>
      </c>
      <c r="Q33" s="525">
        <f t="shared" si="12"/>
        <v>8490.9941109835127</v>
      </c>
      <c r="R33" s="525">
        <f t="shared" si="12"/>
        <v>10369.085767931769</v>
      </c>
      <c r="S33" s="525">
        <f t="shared" si="12"/>
        <v>12247.177424880025</v>
      </c>
      <c r="T33" s="525">
        <f t="shared" si="12"/>
        <v>14125.269081828281</v>
      </c>
      <c r="U33" s="525">
        <f t="shared" si="12"/>
        <v>16003.360738776537</v>
      </c>
      <c r="V33" s="525">
        <f t="shared" si="12"/>
        <v>17881.452395724795</v>
      </c>
      <c r="W33" s="525">
        <f t="shared" si="12"/>
        <v>19759.544052673053</v>
      </c>
      <c r="X33" s="525">
        <f t="shared" si="12"/>
        <v>21637.635709621311</v>
      </c>
      <c r="Y33" s="525">
        <f t="shared" si="12"/>
        <v>23515.727366569568</v>
      </c>
      <c r="Z33" s="525">
        <f t="shared" si="12"/>
        <v>25393.819023517826</v>
      </c>
      <c r="AA33" s="525">
        <f t="shared" si="12"/>
        <v>27271.910680466084</v>
      </c>
      <c r="AB33" s="525">
        <f t="shared" si="12"/>
        <v>29150.002337414342</v>
      </c>
      <c r="AC33" s="525">
        <f t="shared" si="12"/>
        <v>31028.0939943626</v>
      </c>
      <c r="AD33" s="526">
        <f>AC33</f>
        <v>31028.0939943626</v>
      </c>
      <c r="AE33" s="514"/>
    </row>
    <row r="34" spans="2:31" ht="38.25" x14ac:dyDescent="0.25">
      <c r="B34" s="512"/>
      <c r="C34" s="563"/>
      <c r="D34" s="507" t="s">
        <v>13</v>
      </c>
      <c r="E34" s="525"/>
      <c r="F34" s="525">
        <f t="shared" ref="F34:AC34" si="13">IF(AND(F33&gt;0,E33&lt;0),F19,0)</f>
        <v>0</v>
      </c>
      <c r="G34" s="525">
        <f t="shared" si="13"/>
        <v>0</v>
      </c>
      <c r="H34" s="525">
        <f t="shared" si="13"/>
        <v>0</v>
      </c>
      <c r="I34" s="525">
        <f t="shared" si="13"/>
        <v>0</v>
      </c>
      <c r="J34" s="525">
        <f t="shared" si="13"/>
        <v>0</v>
      </c>
      <c r="K34" s="525">
        <f t="shared" si="13"/>
        <v>0</v>
      </c>
      <c r="L34" s="525">
        <f t="shared" si="13"/>
        <v>0</v>
      </c>
      <c r="M34" s="525">
        <f t="shared" si="13"/>
        <v>9</v>
      </c>
      <c r="N34" s="525">
        <f t="shared" si="13"/>
        <v>0</v>
      </c>
      <c r="O34" s="525">
        <f t="shared" si="13"/>
        <v>0</v>
      </c>
      <c r="P34" s="525">
        <f t="shared" si="13"/>
        <v>0</v>
      </c>
      <c r="Q34" s="525">
        <f t="shared" si="13"/>
        <v>0</v>
      </c>
      <c r="R34" s="525">
        <f t="shared" si="13"/>
        <v>0</v>
      </c>
      <c r="S34" s="525">
        <f t="shared" si="13"/>
        <v>0</v>
      </c>
      <c r="T34" s="525">
        <f t="shared" si="13"/>
        <v>0</v>
      </c>
      <c r="U34" s="525">
        <f t="shared" si="13"/>
        <v>0</v>
      </c>
      <c r="V34" s="525">
        <f t="shared" si="13"/>
        <v>0</v>
      </c>
      <c r="W34" s="525">
        <f t="shared" si="13"/>
        <v>0</v>
      </c>
      <c r="X34" s="525">
        <f t="shared" si="13"/>
        <v>0</v>
      </c>
      <c r="Y34" s="525">
        <f t="shared" si="13"/>
        <v>0</v>
      </c>
      <c r="Z34" s="525">
        <f t="shared" si="13"/>
        <v>0</v>
      </c>
      <c r="AA34" s="525">
        <f t="shared" si="13"/>
        <v>0</v>
      </c>
      <c r="AB34" s="525">
        <f t="shared" si="13"/>
        <v>0</v>
      </c>
      <c r="AC34" s="525">
        <f t="shared" si="13"/>
        <v>0</v>
      </c>
      <c r="AD34" s="526">
        <f>SUM(E34:AC34)</f>
        <v>9</v>
      </c>
      <c r="AE34" s="514"/>
    </row>
    <row r="35" spans="2:31" ht="13.5" thickBot="1" x14ac:dyDescent="0.3">
      <c r="B35" s="516"/>
      <c r="C35" s="517"/>
      <c r="D35" s="518"/>
      <c r="E35" s="517"/>
      <c r="F35" s="517"/>
      <c r="G35" s="517"/>
      <c r="H35" s="517"/>
      <c r="I35" s="517"/>
      <c r="J35" s="517"/>
      <c r="K35" s="517"/>
      <c r="L35" s="517"/>
      <c r="M35" s="517"/>
      <c r="N35" s="517"/>
      <c r="O35" s="517"/>
      <c r="P35" s="517"/>
      <c r="Q35" s="517"/>
      <c r="R35" s="517"/>
      <c r="S35" s="517"/>
      <c r="T35" s="517"/>
      <c r="U35" s="517"/>
      <c r="V35" s="517"/>
      <c r="W35" s="517"/>
      <c r="X35" s="517"/>
      <c r="Y35" s="517"/>
      <c r="Z35" s="517"/>
      <c r="AA35" s="517"/>
      <c r="AB35" s="517"/>
      <c r="AC35" s="517"/>
      <c r="AD35" s="527"/>
      <c r="AE35" s="519"/>
    </row>
    <row r="36" spans="2:31" x14ac:dyDescent="0.25">
      <c r="D36" s="505"/>
    </row>
    <row r="37" spans="2:31" x14ac:dyDescent="0.25">
      <c r="D37" s="505"/>
    </row>
    <row r="38" spans="2:31" x14ac:dyDescent="0.25">
      <c r="C38" s="567" t="s">
        <v>21</v>
      </c>
      <c r="D38" s="567"/>
      <c r="E38" s="567"/>
      <c r="G38" s="570" t="s">
        <v>1456</v>
      </c>
      <c r="H38" s="571"/>
      <c r="I38" s="572"/>
    </row>
    <row r="39" spans="2:31" x14ac:dyDescent="0.25">
      <c r="C39" s="495" t="s">
        <v>19</v>
      </c>
      <c r="D39" s="496">
        <f>D8</f>
        <v>3.04E-2</v>
      </c>
      <c r="E39" s="528"/>
      <c r="G39" s="495" t="s">
        <v>1457</v>
      </c>
      <c r="H39" s="495">
        <f>24*15</f>
        <v>360</v>
      </c>
      <c r="I39" s="495" t="s">
        <v>1458</v>
      </c>
    </row>
    <row r="40" spans="2:31" x14ac:dyDescent="0.2">
      <c r="C40" s="495" t="s">
        <v>1054</v>
      </c>
      <c r="D40" s="379">
        <v>646.49</v>
      </c>
      <c r="E40" s="495" t="s">
        <v>20</v>
      </c>
      <c r="F40" s="529"/>
      <c r="G40" s="495" t="s">
        <v>1459</v>
      </c>
      <c r="H40" s="530">
        <f>13010*'Beneficios Perdidas'!C46</f>
        <v>6172.3553879018591</v>
      </c>
      <c r="I40" s="495" t="s">
        <v>1460</v>
      </c>
    </row>
    <row r="41" spans="2:31" x14ac:dyDescent="0.25">
      <c r="C41" s="495" t="s">
        <v>1352</v>
      </c>
      <c r="D41" s="497">
        <v>128.88</v>
      </c>
      <c r="E41" s="495" t="s">
        <v>20</v>
      </c>
      <c r="F41" s="529"/>
      <c r="G41" s="495" t="s">
        <v>1461</v>
      </c>
      <c r="H41" s="530">
        <f>H40*H39</f>
        <v>2222047.9396446692</v>
      </c>
      <c r="I41" s="495" t="s">
        <v>1462</v>
      </c>
    </row>
    <row r="42" spans="2:31" x14ac:dyDescent="0.25">
      <c r="C42" s="495" t="s">
        <v>1353</v>
      </c>
      <c r="D42" s="497">
        <v>21.643999999999998</v>
      </c>
      <c r="E42" s="495" t="s">
        <v>20</v>
      </c>
      <c r="F42" s="529"/>
    </row>
    <row r="43" spans="2:31" x14ac:dyDescent="0.25">
      <c r="C43" s="495" t="s">
        <v>1354</v>
      </c>
      <c r="D43" s="497">
        <v>171.16800000000001</v>
      </c>
      <c r="E43" s="495" t="s">
        <v>20</v>
      </c>
      <c r="F43" s="529"/>
    </row>
    <row r="44" spans="2:31" x14ac:dyDescent="0.25">
      <c r="C44" s="495" t="s">
        <v>1355</v>
      </c>
      <c r="D44" s="497">
        <v>68.852000000000004</v>
      </c>
      <c r="E44" s="495" t="s">
        <v>20</v>
      </c>
      <c r="F44" s="529"/>
    </row>
    <row r="45" spans="2:31" x14ac:dyDescent="0.25">
      <c r="C45" s="495" t="s">
        <v>1356</v>
      </c>
      <c r="D45" s="497">
        <v>17.57</v>
      </c>
      <c r="E45" s="495" t="s">
        <v>20</v>
      </c>
      <c r="F45" s="529"/>
    </row>
    <row r="46" spans="2:31" x14ac:dyDescent="0.25">
      <c r="C46" s="495" t="s">
        <v>1357</v>
      </c>
      <c r="D46" s="497">
        <v>21.957999999999998</v>
      </c>
      <c r="E46" s="495" t="s">
        <v>20</v>
      </c>
      <c r="F46" s="529"/>
    </row>
    <row r="47" spans="2:31" x14ac:dyDescent="0.25">
      <c r="C47" s="495" t="s">
        <v>1053</v>
      </c>
      <c r="D47" s="497">
        <v>430.07</v>
      </c>
      <c r="E47" s="495" t="s">
        <v>20</v>
      </c>
      <c r="F47" s="529"/>
    </row>
    <row r="48" spans="2:31" x14ac:dyDescent="0.25">
      <c r="C48" s="495" t="s">
        <v>1351</v>
      </c>
      <c r="D48" s="498">
        <v>393.69299999999998</v>
      </c>
      <c r="E48" s="495" t="s">
        <v>20</v>
      </c>
      <c r="F48" s="529"/>
    </row>
    <row r="49" spans="3:29" x14ac:dyDescent="0.25">
      <c r="C49" s="495" t="s">
        <v>1</v>
      </c>
      <c r="D49" s="497">
        <f>'Beneficios Peaje'!C10</f>
        <v>2012</v>
      </c>
      <c r="E49" s="495" t="s">
        <v>22</v>
      </c>
    </row>
    <row r="50" spans="3:29" x14ac:dyDescent="0.25">
      <c r="C50" s="495" t="s">
        <v>1034</v>
      </c>
      <c r="D50" s="499">
        <v>250000</v>
      </c>
      <c r="E50" s="495" t="s">
        <v>1471</v>
      </c>
    </row>
    <row r="51" spans="3:29" x14ac:dyDescent="0.25">
      <c r="C51" s="495" t="s">
        <v>1052</v>
      </c>
      <c r="D51" s="500">
        <v>101.27</v>
      </c>
      <c r="E51" s="495"/>
    </row>
    <row r="52" spans="3:29" x14ac:dyDescent="0.25">
      <c r="C52" s="495" t="s">
        <v>1470</v>
      </c>
      <c r="D52" s="500">
        <v>117.22</v>
      </c>
      <c r="E52" s="495"/>
    </row>
    <row r="54" spans="3:29" ht="15" customHeight="1" x14ac:dyDescent="0.25">
      <c r="C54" s="570" t="s">
        <v>15</v>
      </c>
      <c r="D54" s="572"/>
      <c r="E54" s="580" t="s">
        <v>17</v>
      </c>
      <c r="F54" s="581"/>
      <c r="G54" s="581"/>
      <c r="H54" s="581"/>
      <c r="I54" s="582"/>
      <c r="K54" s="531" t="s">
        <v>987</v>
      </c>
      <c r="L54" s="532"/>
      <c r="M54" s="533"/>
    </row>
    <row r="55" spans="3:29" ht="6.75" customHeight="1" x14ac:dyDescent="0.25">
      <c r="C55" s="569" t="s">
        <v>16</v>
      </c>
      <c r="D55" s="569"/>
      <c r="E55" s="583"/>
      <c r="F55" s="584"/>
      <c r="G55" s="584"/>
      <c r="H55" s="584"/>
      <c r="I55" s="585"/>
      <c r="K55" s="491" t="s">
        <v>984</v>
      </c>
      <c r="L55" s="534">
        <f>'Beneficios Peaje'!AE49</f>
        <v>1</v>
      </c>
    </row>
    <row r="56" spans="3:29" ht="15" x14ac:dyDescent="0.25">
      <c r="C56" s="569"/>
      <c r="D56" s="569"/>
      <c r="E56" s="538" t="s">
        <v>41</v>
      </c>
      <c r="F56" s="539" t="s">
        <v>42</v>
      </c>
      <c r="G56" s="539" t="s">
        <v>43</v>
      </c>
      <c r="H56" s="539" t="s">
        <v>44</v>
      </c>
      <c r="I56" s="539" t="s">
        <v>986</v>
      </c>
      <c r="K56" s="491" t="s">
        <v>985</v>
      </c>
      <c r="L56" s="534">
        <f>'Beneficios Peaje'!AF49</f>
        <v>2</v>
      </c>
    </row>
    <row r="57" spans="3:29" ht="15" x14ac:dyDescent="0.25">
      <c r="C57" s="565" t="s">
        <v>1320</v>
      </c>
      <c r="D57" s="565"/>
      <c r="E57" s="540">
        <f>IF(1&gt;$L$56,'Beneficios Calidad de Servicio'!T38,0)</f>
        <v>0</v>
      </c>
      <c r="F57" s="540">
        <f>IF(2&gt;$L$56,'Beneficios Calidad de Servicio'!U38,0)</f>
        <v>0</v>
      </c>
      <c r="G57" s="540">
        <f>IF(3&gt;$L$56,'Beneficios Calidad de Servicio'!V38,0)</f>
        <v>88465.056297431875</v>
      </c>
      <c r="H57" s="540">
        <f>IF(4&gt;$L$56,'Beneficios Calidad de Servicio'!W38,0)</f>
        <v>90134.208303043779</v>
      </c>
      <c r="I57" s="540">
        <f>IF(5&gt;$L$56,'Beneficios Calidad de Servicio'!X38,0)</f>
        <v>91803.360308655712</v>
      </c>
      <c r="L57" s="534"/>
    </row>
    <row r="58" spans="3:29" ht="15" x14ac:dyDescent="0.25">
      <c r="C58" s="565" t="s">
        <v>1415</v>
      </c>
      <c r="D58" s="565"/>
      <c r="E58" s="540">
        <v>0</v>
      </c>
      <c r="F58" s="540">
        <v>0</v>
      </c>
      <c r="G58" s="540">
        <v>0</v>
      </c>
      <c r="H58" s="540">
        <v>0</v>
      </c>
      <c r="I58" s="540">
        <f>IF(5&gt;$L$56,'Beneficios Crecimiento Demanda'!C31*24*365,0)</f>
        <v>1223116.9800290063</v>
      </c>
      <c r="K58" s="531" t="s">
        <v>1015</v>
      </c>
      <c r="L58" s="532"/>
      <c r="M58" s="533"/>
    </row>
    <row r="59" spans="3:29" s="492" customFormat="1" ht="15" hidden="1" x14ac:dyDescent="0.25">
      <c r="C59" s="565" t="s">
        <v>1011</v>
      </c>
      <c r="D59" s="565"/>
      <c r="E59" s="541">
        <f>IF(1&gt;$L$59,'Beneficios Peaje'!$AB$49,0)</f>
        <v>0</v>
      </c>
      <c r="F59" s="541">
        <f>IF(2&gt;$L$59,'Beneficios Peaje'!$AB$49,0)</f>
        <v>1309339501.34077</v>
      </c>
      <c r="G59" s="541">
        <f>IF(3&gt;$L$59,'Beneficios Peaje'!$AB$49,0)</f>
        <v>1309339501.34077</v>
      </c>
      <c r="H59" s="541">
        <f>IF(4&gt;$L$59,'Beneficios Peaje'!$AB$49,0)</f>
        <v>1309339501.34077</v>
      </c>
      <c r="I59" s="541">
        <f>IF(5&gt;$L$59,'Beneficios Peaje'!$AB$49,0)</f>
        <v>1309339501.34077</v>
      </c>
      <c r="J59" s="491"/>
      <c r="K59" s="491" t="s">
        <v>984</v>
      </c>
      <c r="L59" s="534">
        <f>'Beneficios Peaje'!AD49</f>
        <v>1</v>
      </c>
      <c r="M59" s="491"/>
      <c r="N59" s="491"/>
      <c r="O59" s="491"/>
      <c r="P59" s="491"/>
      <c r="Q59" s="491"/>
      <c r="R59" s="491"/>
      <c r="S59" s="491"/>
      <c r="T59" s="491"/>
      <c r="U59" s="491"/>
      <c r="V59" s="491"/>
      <c r="W59" s="491"/>
      <c r="X59" s="491"/>
      <c r="Y59" s="491"/>
      <c r="Z59" s="491"/>
      <c r="AA59" s="491"/>
      <c r="AB59" s="491"/>
      <c r="AC59" s="491"/>
    </row>
    <row r="60" spans="3:29" s="492" customFormat="1" ht="15" hidden="1" x14ac:dyDescent="0.25">
      <c r="C60" s="565" t="s">
        <v>1012</v>
      </c>
      <c r="D60" s="565"/>
      <c r="E60" s="541">
        <f>IF(1&gt;$L$56,'Beneficios Peaje'!AI49,0)</f>
        <v>0</v>
      </c>
      <c r="F60" s="541">
        <f>IF(2&gt;$L$56,'Beneficios Peaje'!AI49,0)</f>
        <v>0</v>
      </c>
      <c r="G60" s="541">
        <f>IF(3&gt;$L$56,'Beneficios Peaje'!AI49,0)</f>
        <v>7699218412.9554663</v>
      </c>
      <c r="H60" s="541">
        <f>IF(4&gt;$L$56,'Beneficios Peaje'!AI49,0)</f>
        <v>7699218412.9554663</v>
      </c>
      <c r="I60" s="541">
        <f>IF(5&gt;$L$56,'Beneficios Peaje'!AI49,0)</f>
        <v>7699218412.9554663</v>
      </c>
      <c r="J60" s="491"/>
      <c r="K60" s="491"/>
      <c r="L60" s="491"/>
      <c r="M60" s="491"/>
      <c r="N60" s="491"/>
      <c r="O60" s="491"/>
      <c r="P60" s="491"/>
      <c r="Q60" s="491"/>
      <c r="R60" s="491"/>
      <c r="S60" s="491"/>
      <c r="T60" s="491"/>
      <c r="U60" s="491"/>
      <c r="V60" s="491"/>
      <c r="W60" s="491"/>
      <c r="X60" s="491"/>
      <c r="Y60" s="491"/>
      <c r="Z60" s="491"/>
      <c r="AA60" s="491"/>
      <c r="AB60" s="491"/>
      <c r="AC60" s="491"/>
    </row>
    <row r="61" spans="3:29" s="492" customFormat="1" ht="15" x14ac:dyDescent="0.25">
      <c r="C61" s="565" t="s">
        <v>1393</v>
      </c>
      <c r="D61" s="565"/>
      <c r="E61" s="540">
        <f>IF(1&gt;$L$56,'Beneficios Perdidas'!K49*24*365,0)</f>
        <v>0</v>
      </c>
      <c r="F61" s="542">
        <f>IF(2&gt;$L$56,'Beneficios Perdidas'!L49*24*365,0)</f>
        <v>0</v>
      </c>
      <c r="G61" s="542">
        <f>IF(3&gt;$L$56,'Beneficios Perdidas'!M49*24*365,0)</f>
        <v>162148.33351488656</v>
      </c>
      <c r="H61" s="542">
        <f>IF(4&gt;$L$56,'Beneficios Perdidas'!N49*24*365,0)</f>
        <v>154574.99310764493</v>
      </c>
      <c r="I61" s="542">
        <f>IF(5&gt;$L$56,'Beneficios Perdidas'!O49*24*365,0)</f>
        <v>147753.20331851314</v>
      </c>
      <c r="J61" s="491"/>
      <c r="K61" s="491"/>
      <c r="L61" s="491"/>
      <c r="M61" s="491"/>
      <c r="N61" s="491"/>
      <c r="O61" s="491"/>
      <c r="P61" s="491"/>
      <c r="Q61" s="491"/>
      <c r="R61" s="491"/>
      <c r="S61" s="491"/>
      <c r="T61" s="491"/>
      <c r="U61" s="491"/>
      <c r="V61" s="491"/>
      <c r="W61" s="491"/>
      <c r="X61" s="491"/>
      <c r="Y61" s="491"/>
      <c r="Z61" s="491"/>
      <c r="AA61" s="491"/>
      <c r="AB61" s="491"/>
      <c r="AC61" s="491"/>
    </row>
    <row r="62" spans="3:29" s="492" customFormat="1" ht="15" x14ac:dyDescent="0.25">
      <c r="C62" s="565" t="s">
        <v>1551</v>
      </c>
      <c r="D62" s="565"/>
      <c r="E62" s="543">
        <f>+E61+E58+E57</f>
        <v>0</v>
      </c>
      <c r="F62" s="543">
        <f t="shared" ref="F62:I62" si="14">+F61+F58+F57</f>
        <v>0</v>
      </c>
      <c r="G62" s="543">
        <f t="shared" si="14"/>
        <v>250613.38981231843</v>
      </c>
      <c r="H62" s="543">
        <f t="shared" si="14"/>
        <v>244709.20141068869</v>
      </c>
      <c r="I62" s="543">
        <f t="shared" si="14"/>
        <v>1462673.5436561753</v>
      </c>
      <c r="J62" s="491"/>
      <c r="K62" s="491"/>
      <c r="L62" s="491"/>
      <c r="M62" s="491"/>
      <c r="N62" s="491"/>
      <c r="O62" s="491"/>
      <c r="P62" s="491"/>
      <c r="Q62" s="491"/>
      <c r="R62" s="491"/>
      <c r="S62" s="491"/>
      <c r="T62" s="491"/>
      <c r="U62" s="491"/>
      <c r="V62" s="491"/>
      <c r="W62" s="491"/>
      <c r="X62" s="491"/>
      <c r="Y62" s="491"/>
      <c r="Z62" s="491"/>
      <c r="AA62" s="491"/>
      <c r="AB62" s="491"/>
      <c r="AC62" s="491"/>
    </row>
    <row r="63" spans="3:29" s="492" customFormat="1" x14ac:dyDescent="0.25">
      <c r="C63" s="491"/>
      <c r="D63" s="493"/>
      <c r="E63" s="491"/>
      <c r="F63" s="491"/>
      <c r="G63" s="491"/>
      <c r="H63" s="491"/>
      <c r="I63" s="491"/>
      <c r="J63" s="491"/>
      <c r="K63" s="491"/>
      <c r="L63" s="491"/>
      <c r="M63" s="491"/>
      <c r="N63" s="491"/>
      <c r="O63" s="491"/>
      <c r="P63" s="491"/>
      <c r="Q63" s="491"/>
      <c r="R63" s="491"/>
      <c r="S63" s="491"/>
      <c r="T63" s="491"/>
      <c r="U63" s="491"/>
      <c r="V63" s="491"/>
      <c r="W63" s="491"/>
      <c r="X63" s="491"/>
      <c r="Y63" s="491"/>
      <c r="Z63" s="491"/>
      <c r="AA63" s="491"/>
      <c r="AB63" s="491"/>
      <c r="AC63" s="491"/>
    </row>
    <row r="64" spans="3:29" s="492" customFormat="1" x14ac:dyDescent="0.25">
      <c r="C64" s="567" t="s">
        <v>1032</v>
      </c>
      <c r="D64" s="567"/>
      <c r="E64" s="495"/>
      <c r="F64" s="495"/>
      <c r="G64" s="495"/>
      <c r="H64" s="495"/>
      <c r="I64" s="495"/>
      <c r="J64" s="495"/>
      <c r="K64" s="495"/>
      <c r="L64" s="495"/>
      <c r="M64" s="495"/>
      <c r="N64" s="495"/>
      <c r="O64" s="495"/>
      <c r="P64" s="491"/>
      <c r="Q64" s="491"/>
      <c r="R64" s="491"/>
      <c r="S64" s="491"/>
      <c r="T64" s="491"/>
      <c r="U64" s="491"/>
      <c r="V64" s="491"/>
      <c r="W64" s="491"/>
      <c r="X64" s="491"/>
      <c r="Y64" s="491"/>
      <c r="Z64" s="491"/>
      <c r="AA64" s="491"/>
      <c r="AB64" s="491"/>
      <c r="AC64" s="491"/>
    </row>
    <row r="65" spans="3:29" s="492" customFormat="1" x14ac:dyDescent="0.25">
      <c r="C65" s="566" t="s">
        <v>16</v>
      </c>
      <c r="D65" s="566"/>
      <c r="E65" s="562" t="s">
        <v>17</v>
      </c>
      <c r="F65" s="562"/>
      <c r="G65" s="562"/>
      <c r="H65" s="562"/>
      <c r="I65" s="495"/>
      <c r="J65" s="495"/>
      <c r="K65" s="495"/>
      <c r="L65" s="495"/>
      <c r="M65" s="495"/>
      <c r="N65" s="495"/>
      <c r="O65" s="495"/>
      <c r="P65" s="491"/>
      <c r="Q65" s="491"/>
      <c r="R65" s="491"/>
      <c r="S65" s="491"/>
      <c r="T65" s="491"/>
      <c r="U65" s="491"/>
      <c r="V65" s="491"/>
      <c r="W65" s="491"/>
      <c r="X65" s="491"/>
      <c r="Y65" s="491"/>
      <c r="Z65" s="491"/>
      <c r="AA65" s="491"/>
      <c r="AB65" s="491"/>
      <c r="AC65" s="491"/>
    </row>
    <row r="66" spans="3:29" s="492" customFormat="1" x14ac:dyDescent="0.25">
      <c r="C66" s="566"/>
      <c r="D66" s="566"/>
      <c r="E66" s="501" t="s">
        <v>41</v>
      </c>
      <c r="F66" s="494" t="s">
        <v>42</v>
      </c>
      <c r="G66" s="494" t="s">
        <v>43</v>
      </c>
      <c r="H66" s="494" t="s">
        <v>44</v>
      </c>
      <c r="I66" s="494" t="s">
        <v>986</v>
      </c>
      <c r="J66" s="494" t="s">
        <v>1509</v>
      </c>
      <c r="K66" s="494" t="s">
        <v>1510</v>
      </c>
      <c r="L66" s="494" t="s">
        <v>1511</v>
      </c>
      <c r="M66" s="494" t="s">
        <v>1512</v>
      </c>
      <c r="N66" s="494" t="s">
        <v>1513</v>
      </c>
      <c r="O66" s="494" t="s">
        <v>1514</v>
      </c>
      <c r="P66" s="536" t="s">
        <v>1515</v>
      </c>
      <c r="Q66" s="494" t="s">
        <v>1516</v>
      </c>
      <c r="R66" s="494" t="s">
        <v>1517</v>
      </c>
      <c r="S66" s="494" t="s">
        <v>1518</v>
      </c>
      <c r="T66" s="494" t="s">
        <v>1519</v>
      </c>
      <c r="U66" s="494" t="s">
        <v>1520</v>
      </c>
      <c r="V66" s="494" t="s">
        <v>1521</v>
      </c>
      <c r="W66" s="494" t="s">
        <v>1522</v>
      </c>
      <c r="X66" s="494" t="s">
        <v>1523</v>
      </c>
      <c r="Y66" s="494" t="s">
        <v>1524</v>
      </c>
      <c r="Z66" s="494" t="s">
        <v>1525</v>
      </c>
      <c r="AA66" s="494" t="s">
        <v>1526</v>
      </c>
      <c r="AB66" s="494" t="s">
        <v>1527</v>
      </c>
      <c r="AC66" s="494" t="s">
        <v>1528</v>
      </c>
    </row>
    <row r="67" spans="3:29" s="492" customFormat="1" x14ac:dyDescent="0.25">
      <c r="C67" s="563" t="s">
        <v>1033</v>
      </c>
      <c r="D67" s="563"/>
      <c r="E67" s="535">
        <f>Inversion!Q41</f>
        <v>6035746004.9357834</v>
      </c>
      <c r="F67" s="535">
        <f>Inversion!S41</f>
        <v>6035746004.9357834</v>
      </c>
      <c r="G67" s="535">
        <f>Inversion!U41</f>
        <v>0</v>
      </c>
      <c r="H67" s="535">
        <f>Inversion!W41</f>
        <v>0</v>
      </c>
      <c r="I67" s="535">
        <f>Inversion!X41</f>
        <v>0</v>
      </c>
      <c r="J67" s="535" t="str">
        <f>Inversion!Y41</f>
        <v>OK</v>
      </c>
      <c r="K67" s="535">
        <f>Inversion!Z41</f>
        <v>0</v>
      </c>
      <c r="L67" s="535">
        <f>Inversion!AA41</f>
        <v>0</v>
      </c>
      <c r="M67" s="535">
        <f>Inversion!AB41</f>
        <v>0</v>
      </c>
      <c r="N67" s="535">
        <f>Inversion!AC41</f>
        <v>0</v>
      </c>
      <c r="O67" s="535">
        <f>Inversion!AD41</f>
        <v>0</v>
      </c>
      <c r="P67" s="537">
        <f>Inversion!AE41</f>
        <v>0</v>
      </c>
      <c r="Q67" s="535">
        <f>Inversion!AF41</f>
        <v>0</v>
      </c>
      <c r="R67" s="535">
        <f>Inversion!AG41</f>
        <v>0</v>
      </c>
      <c r="S67" s="535">
        <f>Inversion!AH41</f>
        <v>0</v>
      </c>
      <c r="T67" s="535">
        <f>Inversion!AI41</f>
        <v>0</v>
      </c>
      <c r="U67" s="535">
        <f>Inversion!AJ41</f>
        <v>0</v>
      </c>
      <c r="V67" s="535">
        <f>Inversion!AK41</f>
        <v>0</v>
      </c>
      <c r="W67" s="535">
        <f>Inversion!AL41</f>
        <v>0</v>
      </c>
      <c r="X67" s="535">
        <f>Inversion!AM41</f>
        <v>0</v>
      </c>
      <c r="Y67" s="535">
        <f>Inversion!AN41</f>
        <v>0</v>
      </c>
      <c r="Z67" s="535">
        <f>Inversion!AO41</f>
        <v>0</v>
      </c>
      <c r="AA67" s="535">
        <f>Inversion!AP41</f>
        <v>0</v>
      </c>
      <c r="AB67" s="535">
        <f>Inversion!AQ41</f>
        <v>0</v>
      </c>
      <c r="AC67" s="535">
        <f>Inversion!AR41</f>
        <v>0</v>
      </c>
    </row>
    <row r="68" spans="3:29" s="492" customFormat="1" x14ac:dyDescent="0.25">
      <c r="C68" s="563" t="s">
        <v>1492</v>
      </c>
      <c r="D68" s="563"/>
      <c r="E68" s="535">
        <f>Preinversion!C11*1000000</f>
        <v>270000000</v>
      </c>
      <c r="F68" s="535"/>
      <c r="G68" s="535"/>
      <c r="H68" s="535"/>
      <c r="I68" s="535"/>
      <c r="J68" s="535"/>
      <c r="K68" s="535"/>
      <c r="L68" s="535"/>
      <c r="M68" s="535"/>
      <c r="N68" s="535"/>
      <c r="O68" s="535"/>
      <c r="P68" s="537"/>
      <c r="Q68" s="535"/>
      <c r="R68" s="535"/>
      <c r="S68" s="535"/>
      <c r="T68" s="535"/>
      <c r="U68" s="535"/>
      <c r="V68" s="535"/>
      <c r="W68" s="535"/>
      <c r="X68" s="535"/>
      <c r="Y68" s="535"/>
      <c r="Z68" s="535"/>
      <c r="AA68" s="535"/>
      <c r="AB68" s="535"/>
      <c r="AC68" s="535"/>
    </row>
    <row r="69" spans="3:29" s="492" customFormat="1" x14ac:dyDescent="0.25">
      <c r="C69" s="563" t="s">
        <v>1325</v>
      </c>
      <c r="D69" s="563"/>
      <c r="E69" s="535">
        <f>Inversion!D49</f>
        <v>91736072.072652489</v>
      </c>
      <c r="F69" s="535">
        <v>0</v>
      </c>
      <c r="G69" s="535">
        <v>0</v>
      </c>
      <c r="H69" s="535">
        <v>0</v>
      </c>
      <c r="I69" s="535">
        <v>0</v>
      </c>
      <c r="J69" s="535">
        <v>0</v>
      </c>
      <c r="K69" s="535">
        <v>0</v>
      </c>
      <c r="L69" s="535">
        <v>0</v>
      </c>
      <c r="M69" s="535">
        <v>0</v>
      </c>
      <c r="N69" s="535">
        <v>0</v>
      </c>
      <c r="O69" s="535">
        <v>0</v>
      </c>
      <c r="P69" s="537">
        <v>0</v>
      </c>
      <c r="Q69" s="535">
        <v>0</v>
      </c>
      <c r="R69" s="535">
        <v>0</v>
      </c>
      <c r="S69" s="535">
        <v>0</v>
      </c>
      <c r="T69" s="535">
        <v>0</v>
      </c>
      <c r="U69" s="535">
        <v>0</v>
      </c>
      <c r="V69" s="535">
        <v>0</v>
      </c>
      <c r="W69" s="535">
        <v>0</v>
      </c>
      <c r="X69" s="535">
        <v>0</v>
      </c>
      <c r="Y69" s="535">
        <v>0</v>
      </c>
      <c r="Z69" s="535">
        <v>0</v>
      </c>
      <c r="AA69" s="535">
        <v>0</v>
      </c>
      <c r="AB69" s="535">
        <v>0</v>
      </c>
      <c r="AC69" s="535">
        <v>0</v>
      </c>
    </row>
    <row r="70" spans="3:29" s="492" customFormat="1" x14ac:dyDescent="0.25">
      <c r="C70" s="563" t="s">
        <v>1496</v>
      </c>
      <c r="D70" s="563"/>
      <c r="E70" s="535"/>
      <c r="F70" s="535">
        <f>Financiacion!D6</f>
        <v>237182947.59791228</v>
      </c>
      <c r="G70" s="535">
        <f>Financiacion!E6</f>
        <v>219606578.7796793</v>
      </c>
      <c r="H70" s="535">
        <f>Financiacion!F6</f>
        <v>200887745.98826116</v>
      </c>
      <c r="I70" s="535">
        <f>Financiacion!G6</f>
        <v>180952189.06540087</v>
      </c>
      <c r="J70" s="535">
        <f>Financiacion!H6</f>
        <v>159720820.94255465</v>
      </c>
      <c r="K70" s="535">
        <f>Financiacion!I6</f>
        <v>137109413.89172342</v>
      </c>
      <c r="L70" s="535">
        <f>Financiacion!J6</f>
        <v>113028265.38258815</v>
      </c>
      <c r="M70" s="535">
        <f>Financiacion!K6</f>
        <v>87381842.220359102</v>
      </c>
      <c r="N70" s="535">
        <f>Financiacion!L6</f>
        <v>60068401.552585147</v>
      </c>
      <c r="O70" s="535">
        <f>Financiacion!M6</f>
        <v>30979587.241405901</v>
      </c>
      <c r="P70" s="537">
        <f>Financiacion!N6</f>
        <v>0</v>
      </c>
      <c r="Q70" s="535">
        <f>Financiacion!O6</f>
        <v>0</v>
      </c>
      <c r="R70" s="535">
        <f>Financiacion!P6</f>
        <v>0</v>
      </c>
      <c r="S70" s="535">
        <f>Financiacion!Q6</f>
        <v>0</v>
      </c>
      <c r="T70" s="535">
        <f>Financiacion!R6</f>
        <v>0</v>
      </c>
      <c r="U70" s="535">
        <f>Financiacion!S6</f>
        <v>0</v>
      </c>
      <c r="V70" s="535">
        <f>Financiacion!T6</f>
        <v>0</v>
      </c>
      <c r="W70" s="535">
        <f>Financiacion!U6</f>
        <v>0</v>
      </c>
      <c r="X70" s="535">
        <f>Financiacion!V6</f>
        <v>0</v>
      </c>
      <c r="Y70" s="535">
        <f>Financiacion!W6</f>
        <v>0</v>
      </c>
      <c r="Z70" s="535">
        <f>Financiacion!X6</f>
        <v>0</v>
      </c>
      <c r="AA70" s="535">
        <f>Financiacion!Y6</f>
        <v>0</v>
      </c>
      <c r="AB70" s="535">
        <f>Financiacion!Z6</f>
        <v>0</v>
      </c>
      <c r="AC70" s="535">
        <f>Financiacion!AA6</f>
        <v>0</v>
      </c>
    </row>
    <row r="71" spans="3:29" s="492" customFormat="1" x14ac:dyDescent="0.25">
      <c r="C71" s="564" t="s">
        <v>1495</v>
      </c>
      <c r="D71" s="564" t="s">
        <v>1494</v>
      </c>
      <c r="E71" s="535">
        <f>SUM(E67:E70)</f>
        <v>6397482077.0084362</v>
      </c>
      <c r="F71" s="535">
        <f t="shared" ref="F71:AC71" si="15">SUM(F67:F70)</f>
        <v>6272928952.5336952</v>
      </c>
      <c r="G71" s="535">
        <f t="shared" si="15"/>
        <v>219606578.7796793</v>
      </c>
      <c r="H71" s="535">
        <f t="shared" si="15"/>
        <v>200887745.98826116</v>
      </c>
      <c r="I71" s="535">
        <f t="shared" si="15"/>
        <v>180952189.06540087</v>
      </c>
      <c r="J71" s="535">
        <f t="shared" si="15"/>
        <v>159720820.94255465</v>
      </c>
      <c r="K71" s="535">
        <f t="shared" si="15"/>
        <v>137109413.89172342</v>
      </c>
      <c r="L71" s="535">
        <f t="shared" si="15"/>
        <v>113028265.38258815</v>
      </c>
      <c r="M71" s="535">
        <f t="shared" si="15"/>
        <v>87381842.220359102</v>
      </c>
      <c r="N71" s="535">
        <f t="shared" si="15"/>
        <v>60068401.552585147</v>
      </c>
      <c r="O71" s="535">
        <f t="shared" si="15"/>
        <v>30979587.241405901</v>
      </c>
      <c r="P71" s="537">
        <f t="shared" si="15"/>
        <v>0</v>
      </c>
      <c r="Q71" s="535">
        <f t="shared" si="15"/>
        <v>0</v>
      </c>
      <c r="R71" s="535">
        <f t="shared" si="15"/>
        <v>0</v>
      </c>
      <c r="S71" s="535">
        <f t="shared" si="15"/>
        <v>0</v>
      </c>
      <c r="T71" s="535">
        <f t="shared" si="15"/>
        <v>0</v>
      </c>
      <c r="U71" s="535">
        <f t="shared" si="15"/>
        <v>0</v>
      </c>
      <c r="V71" s="535">
        <f t="shared" si="15"/>
        <v>0</v>
      </c>
      <c r="W71" s="535">
        <f t="shared" si="15"/>
        <v>0</v>
      </c>
      <c r="X71" s="535">
        <f t="shared" si="15"/>
        <v>0</v>
      </c>
      <c r="Y71" s="535">
        <f t="shared" si="15"/>
        <v>0</v>
      </c>
      <c r="Z71" s="535">
        <f t="shared" si="15"/>
        <v>0</v>
      </c>
      <c r="AA71" s="535">
        <f t="shared" si="15"/>
        <v>0</v>
      </c>
      <c r="AB71" s="535">
        <f t="shared" si="15"/>
        <v>0</v>
      </c>
      <c r="AC71" s="535">
        <f t="shared" si="15"/>
        <v>0</v>
      </c>
    </row>
  </sheetData>
  <mergeCells count="29">
    <mergeCell ref="C3:AD3"/>
    <mergeCell ref="C55:D56"/>
    <mergeCell ref="G38:I38"/>
    <mergeCell ref="C5:D5"/>
    <mergeCell ref="C17:AD17"/>
    <mergeCell ref="C18:D19"/>
    <mergeCell ref="E18:AC18"/>
    <mergeCell ref="AD18:AD19"/>
    <mergeCell ref="C20:C24"/>
    <mergeCell ref="C25:C31"/>
    <mergeCell ref="C32:D32"/>
    <mergeCell ref="C33:C34"/>
    <mergeCell ref="C38:E38"/>
    <mergeCell ref="C54:D54"/>
    <mergeCell ref="E54:I55"/>
    <mergeCell ref="C71:D71"/>
    <mergeCell ref="C57:D57"/>
    <mergeCell ref="C58:D58"/>
    <mergeCell ref="C59:D59"/>
    <mergeCell ref="C60:D60"/>
    <mergeCell ref="C61:D61"/>
    <mergeCell ref="C65:D66"/>
    <mergeCell ref="C64:D64"/>
    <mergeCell ref="C62:D62"/>
    <mergeCell ref="E65:H65"/>
    <mergeCell ref="C67:D67"/>
    <mergeCell ref="C68:D68"/>
    <mergeCell ref="C69:D69"/>
    <mergeCell ref="C70:D70"/>
  </mergeCells>
  <pageMargins left="0.7" right="0.7" top="0.75" bottom="0.75" header="0.3" footer="0.3"/>
  <pageSetup paperSize="8"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2:AC29"/>
  <sheetViews>
    <sheetView showGridLines="0" zoomScale="75" zoomScaleNormal="75" workbookViewId="0">
      <selection activeCell="I19" sqref="I19"/>
    </sheetView>
  </sheetViews>
  <sheetFormatPr baseColWidth="10" defaultRowHeight="12.75" x14ac:dyDescent="0.2"/>
  <cols>
    <col min="1" max="1" width="11.42578125" style="437"/>
    <col min="2" max="2" width="42.42578125" style="437" customWidth="1"/>
    <col min="3" max="3" width="16.5703125" style="437" bestFit="1" customWidth="1"/>
    <col min="4" max="5" width="14.28515625" style="437" bestFit="1" customWidth="1"/>
    <col min="6" max="6" width="26" style="437" bestFit="1" customWidth="1"/>
    <col min="7" max="7" width="16" style="437" bestFit="1" customWidth="1"/>
    <col min="8" max="8" width="12.85546875" style="437" bestFit="1" customWidth="1"/>
    <col min="9" max="13" width="13.28515625" style="437" bestFit="1" customWidth="1"/>
    <col min="14" max="24" width="7.140625" style="437" hidden="1" customWidth="1"/>
    <col min="25" max="27" width="7" style="437" hidden="1" customWidth="1"/>
    <col min="28" max="16384" width="11.42578125" style="437"/>
  </cols>
  <sheetData>
    <row r="2" spans="2:29" x14ac:dyDescent="0.2">
      <c r="B2" s="695"/>
      <c r="C2" s="695"/>
      <c r="D2" s="695"/>
      <c r="E2" s="695"/>
      <c r="F2" s="695"/>
      <c r="G2" s="695"/>
      <c r="H2" s="695"/>
      <c r="I2" s="695"/>
      <c r="J2" s="695"/>
      <c r="K2" s="695"/>
      <c r="L2" s="695"/>
      <c r="M2" s="695"/>
      <c r="N2" s="695"/>
      <c r="O2" s="695"/>
      <c r="P2" s="695"/>
      <c r="Q2" s="695"/>
      <c r="R2" s="695"/>
      <c r="S2" s="695"/>
      <c r="T2" s="695"/>
      <c r="U2" s="695"/>
      <c r="V2" s="695"/>
      <c r="W2" s="695"/>
      <c r="X2" s="695"/>
      <c r="Y2" s="695"/>
      <c r="Z2" s="695"/>
      <c r="AA2" s="695"/>
      <c r="AB2" s="695"/>
      <c r="AC2" s="695"/>
    </row>
    <row r="3" spans="2:29" x14ac:dyDescent="0.2">
      <c r="B3" s="698" t="s">
        <v>1547</v>
      </c>
      <c r="C3" s="698"/>
      <c r="D3" s="698"/>
      <c r="E3" s="698"/>
      <c r="F3" s="698"/>
      <c r="G3" s="698"/>
      <c r="H3" s="698"/>
      <c r="I3" s="698"/>
      <c r="J3" s="698"/>
      <c r="K3" s="698"/>
      <c r="L3" s="698"/>
      <c r="M3" s="698"/>
      <c r="N3" s="438"/>
      <c r="O3" s="438"/>
      <c r="P3" s="438"/>
      <c r="Q3" s="438"/>
      <c r="R3" s="438"/>
      <c r="S3" s="438"/>
      <c r="T3" s="438"/>
      <c r="U3" s="438"/>
      <c r="V3" s="438"/>
      <c r="W3" s="438"/>
      <c r="X3" s="438"/>
      <c r="Y3" s="438"/>
      <c r="Z3" s="438"/>
      <c r="AA3" s="438"/>
      <c r="AB3" s="438"/>
      <c r="AC3" s="438"/>
    </row>
    <row r="4" spans="2:29" x14ac:dyDescent="0.2">
      <c r="B4" s="452" t="s">
        <v>1497</v>
      </c>
      <c r="C4" s="694" t="s">
        <v>1485</v>
      </c>
      <c r="D4" s="694"/>
      <c r="E4" s="694" t="s">
        <v>1486</v>
      </c>
      <c r="F4" s="694"/>
      <c r="G4" s="694"/>
      <c r="H4" s="694"/>
      <c r="I4" s="694"/>
      <c r="J4" s="694"/>
      <c r="K4" s="694"/>
      <c r="L4" s="694"/>
      <c r="M4" s="694"/>
      <c r="N4" s="694"/>
      <c r="O4" s="694"/>
      <c r="P4" s="694"/>
      <c r="Q4" s="694"/>
      <c r="R4" s="694"/>
      <c r="S4" s="694"/>
      <c r="T4" s="694"/>
      <c r="U4" s="694"/>
      <c r="V4" s="694"/>
      <c r="W4" s="694"/>
      <c r="X4" s="694"/>
      <c r="Y4" s="694"/>
      <c r="Z4" s="694"/>
      <c r="AA4" s="694"/>
      <c r="AB4" s="439"/>
      <c r="AC4" s="439"/>
    </row>
    <row r="5" spans="2:29" x14ac:dyDescent="0.2">
      <c r="B5" s="452" t="s">
        <v>965</v>
      </c>
      <c r="C5" s="453">
        <v>1</v>
      </c>
      <c r="D5" s="453">
        <v>2</v>
      </c>
      <c r="E5" s="454">
        <v>3</v>
      </c>
      <c r="F5" s="453">
        <v>4</v>
      </c>
      <c r="G5" s="453">
        <v>5</v>
      </c>
      <c r="H5" s="453">
        <v>6</v>
      </c>
      <c r="I5" s="454">
        <v>7</v>
      </c>
      <c r="J5" s="453">
        <v>8</v>
      </c>
      <c r="K5" s="453">
        <v>9</v>
      </c>
      <c r="L5" s="453">
        <v>10</v>
      </c>
      <c r="M5" s="454">
        <v>11</v>
      </c>
      <c r="N5" s="453">
        <v>12</v>
      </c>
      <c r="O5" s="453">
        <v>13</v>
      </c>
      <c r="P5" s="453">
        <v>14</v>
      </c>
      <c r="Q5" s="454">
        <v>15</v>
      </c>
      <c r="R5" s="453">
        <v>16</v>
      </c>
      <c r="S5" s="453">
        <v>17</v>
      </c>
      <c r="T5" s="453">
        <v>18</v>
      </c>
      <c r="U5" s="454">
        <v>19</v>
      </c>
      <c r="V5" s="453">
        <v>20</v>
      </c>
      <c r="W5" s="453">
        <v>21</v>
      </c>
      <c r="X5" s="453">
        <v>22</v>
      </c>
      <c r="Y5" s="454">
        <v>23</v>
      </c>
      <c r="Z5" s="453">
        <v>24</v>
      </c>
      <c r="AA5" s="453">
        <v>25</v>
      </c>
      <c r="AB5" s="440"/>
      <c r="AC5" s="440"/>
    </row>
    <row r="6" spans="2:29" ht="15.75" x14ac:dyDescent="0.25">
      <c r="B6" s="455" t="s">
        <v>1498</v>
      </c>
      <c r="C6" s="452"/>
      <c r="D6" s="456">
        <f>E19</f>
        <v>237182947.59791228</v>
      </c>
      <c r="E6" s="456">
        <f>E20</f>
        <v>219606578.7796793</v>
      </c>
      <c r="F6" s="456">
        <f>E21</f>
        <v>200887745.98826116</v>
      </c>
      <c r="G6" s="456">
        <f>E22</f>
        <v>180952189.06540087</v>
      </c>
      <c r="H6" s="456">
        <f>E23</f>
        <v>159720820.94255465</v>
      </c>
      <c r="I6" s="456">
        <f>E24</f>
        <v>137109413.89172342</v>
      </c>
      <c r="J6" s="456">
        <f>E25</f>
        <v>113028265.38258815</v>
      </c>
      <c r="K6" s="456">
        <f>E26</f>
        <v>87381842.220359102</v>
      </c>
      <c r="L6" s="456">
        <f>E27</f>
        <v>60068401.552585147</v>
      </c>
      <c r="M6" s="456">
        <f>E28</f>
        <v>30979587.241405901</v>
      </c>
      <c r="N6" s="456"/>
      <c r="O6" s="456"/>
      <c r="P6" s="456"/>
      <c r="Q6" s="456"/>
      <c r="R6" s="456"/>
      <c r="S6" s="456"/>
      <c r="T6" s="456"/>
      <c r="U6" s="456"/>
      <c r="V6" s="456"/>
      <c r="W6" s="456"/>
      <c r="X6" s="456"/>
      <c r="Y6" s="456"/>
      <c r="Z6" s="456"/>
      <c r="AA6" s="456"/>
      <c r="AB6" s="442"/>
      <c r="AC6" s="442"/>
    </row>
    <row r="7" spans="2:29" ht="15.75" x14ac:dyDescent="0.25">
      <c r="B7" s="455" t="s">
        <v>1499</v>
      </c>
      <c r="C7" s="452"/>
      <c r="D7" s="456">
        <f>F19</f>
        <v>270405674.1266613</v>
      </c>
      <c r="E7" s="456">
        <f>F20</f>
        <v>287982042.94489425</v>
      </c>
      <c r="F7" s="456">
        <f>F21</f>
        <v>306700875.73631239</v>
      </c>
      <c r="G7" s="457">
        <f>F22</f>
        <v>326636432.65917265</v>
      </c>
      <c r="H7" s="457">
        <f>F23</f>
        <v>347867800.7820189</v>
      </c>
      <c r="I7" s="457">
        <f>F24</f>
        <v>370479207.8328501</v>
      </c>
      <c r="J7" s="457">
        <f>F25</f>
        <v>394560356.3419854</v>
      </c>
      <c r="K7" s="457">
        <f>F26</f>
        <v>420206779.50421447</v>
      </c>
      <c r="L7" s="457">
        <f>F27</f>
        <v>447520220.17198843</v>
      </c>
      <c r="M7" s="457">
        <f>F28</f>
        <v>476609034.48316765</v>
      </c>
      <c r="N7" s="457"/>
      <c r="O7" s="457"/>
      <c r="P7" s="457"/>
      <c r="Q7" s="457"/>
      <c r="R7" s="457"/>
      <c r="S7" s="457"/>
      <c r="T7" s="457"/>
      <c r="U7" s="457"/>
      <c r="V7" s="457"/>
      <c r="W7" s="457"/>
      <c r="X7" s="457"/>
      <c r="Y7" s="457"/>
      <c r="Z7" s="457"/>
      <c r="AA7" s="457"/>
      <c r="AB7" s="443"/>
      <c r="AC7" s="442"/>
    </row>
    <row r="9" spans="2:29" ht="20.25" customHeight="1" x14ac:dyDescent="0.2">
      <c r="B9" s="444" t="s">
        <v>1548</v>
      </c>
      <c r="C9" s="445">
        <f>Inversion!D51*70%</f>
        <v>8514259657.3609533</v>
      </c>
    </row>
    <row r="10" spans="2:29" ht="20.25" customHeight="1" x14ac:dyDescent="0.2">
      <c r="B10" s="446" t="s">
        <v>1500</v>
      </c>
      <c r="C10" s="445">
        <f>Inversion!D51*30%</f>
        <v>3648968424.5832658</v>
      </c>
      <c r="D10" s="441"/>
      <c r="E10" s="441"/>
      <c r="F10" s="441"/>
      <c r="G10" s="441"/>
      <c r="H10" s="441"/>
      <c r="I10" s="441"/>
      <c r="J10" s="441"/>
      <c r="K10" s="441"/>
      <c r="L10" s="441"/>
      <c r="M10" s="441"/>
      <c r="N10" s="441"/>
      <c r="O10" s="441"/>
      <c r="P10" s="441"/>
      <c r="Q10" s="441"/>
      <c r="R10" s="441"/>
      <c r="S10" s="441"/>
      <c r="T10" s="441"/>
      <c r="U10" s="441"/>
      <c r="V10" s="441"/>
      <c r="W10" s="441"/>
      <c r="X10" s="441"/>
      <c r="Y10" s="441"/>
      <c r="Z10" s="441"/>
      <c r="AA10" s="441"/>
      <c r="AB10" s="441"/>
      <c r="AC10" s="441"/>
    </row>
    <row r="11" spans="2:29" ht="20.25" customHeight="1" x14ac:dyDescent="0.2">
      <c r="B11" s="446" t="s">
        <v>1549</v>
      </c>
      <c r="C11" s="447">
        <v>6.5000000000000002E-2</v>
      </c>
      <c r="D11" s="441"/>
      <c r="E11" s="441"/>
      <c r="F11" s="441"/>
      <c r="G11" s="441"/>
      <c r="H11" s="441"/>
      <c r="I11" s="441"/>
      <c r="J11" s="441"/>
      <c r="K11" s="441"/>
      <c r="L11" s="441"/>
      <c r="M11" s="441"/>
      <c r="N11" s="441"/>
      <c r="O11" s="441"/>
      <c r="P11" s="441"/>
      <c r="Q11" s="441"/>
      <c r="R11" s="441"/>
      <c r="S11" s="441"/>
      <c r="T11" s="441"/>
      <c r="U11" s="441"/>
      <c r="V11" s="441"/>
      <c r="W11" s="441"/>
      <c r="X11" s="441"/>
      <c r="Y11" s="441"/>
      <c r="Z11" s="441"/>
      <c r="AA11" s="441"/>
      <c r="AB11" s="441"/>
      <c r="AC11" s="441"/>
    </row>
    <row r="12" spans="2:29" ht="20.25" customHeight="1" x14ac:dyDescent="0.2">
      <c r="B12" s="446" t="s">
        <v>1501</v>
      </c>
      <c r="C12" s="441">
        <v>10</v>
      </c>
      <c r="D12" s="441"/>
      <c r="E12" s="441"/>
      <c r="F12" s="441"/>
      <c r="G12" s="441"/>
      <c r="H12" s="441"/>
      <c r="I12" s="441"/>
      <c r="J12" s="441"/>
      <c r="K12" s="441"/>
      <c r="L12" s="441"/>
      <c r="M12" s="441"/>
      <c r="N12" s="441"/>
      <c r="O12" s="441"/>
      <c r="P12" s="441"/>
      <c r="Q12" s="441"/>
      <c r="R12" s="441"/>
      <c r="S12" s="441"/>
      <c r="T12" s="441"/>
      <c r="U12" s="441"/>
      <c r="V12" s="441"/>
      <c r="W12" s="441"/>
      <c r="X12" s="441"/>
      <c r="Y12" s="441"/>
      <c r="Z12" s="441"/>
      <c r="AA12" s="441"/>
      <c r="AB12" s="441"/>
      <c r="AC12" s="441"/>
    </row>
    <row r="13" spans="2:29" ht="20.25" customHeight="1" x14ac:dyDescent="0.2">
      <c r="B13" s="446" t="s">
        <v>1502</v>
      </c>
      <c r="C13" s="445">
        <f>PMT(C11,C12,-C10)</f>
        <v>507588621.72457355</v>
      </c>
      <c r="D13" s="441"/>
      <c r="E13" s="441"/>
      <c r="F13" s="441"/>
      <c r="G13" s="441"/>
      <c r="H13" s="441"/>
      <c r="I13" s="441"/>
      <c r="J13" s="441"/>
      <c r="K13" s="441"/>
      <c r="L13" s="441"/>
      <c r="M13" s="441"/>
      <c r="N13" s="441"/>
      <c r="O13" s="441"/>
      <c r="P13" s="441"/>
      <c r="Q13" s="441"/>
      <c r="R13" s="441"/>
      <c r="S13" s="441"/>
      <c r="T13" s="441"/>
      <c r="U13" s="441"/>
      <c r="V13" s="441"/>
      <c r="W13" s="441"/>
      <c r="X13" s="441"/>
      <c r="Y13" s="441"/>
      <c r="Z13" s="441"/>
      <c r="AA13" s="441"/>
      <c r="AB13" s="441"/>
      <c r="AC13" s="441"/>
    </row>
    <row r="15" spans="2:29" x14ac:dyDescent="0.2">
      <c r="B15" s="441"/>
      <c r="C15" s="697" t="s">
        <v>1503</v>
      </c>
      <c r="D15" s="697"/>
      <c r="E15" s="697"/>
      <c r="F15" s="697"/>
      <c r="G15" s="697"/>
      <c r="H15" s="448"/>
      <c r="I15" s="448"/>
      <c r="J15" s="448"/>
      <c r="K15" s="448"/>
      <c r="L15" s="448"/>
      <c r="M15" s="448"/>
      <c r="N15" s="448"/>
      <c r="O15" s="448"/>
      <c r="P15" s="448"/>
      <c r="Q15" s="448"/>
      <c r="R15" s="448"/>
      <c r="S15" s="448"/>
      <c r="T15" s="448"/>
      <c r="U15" s="448"/>
      <c r="V15" s="448"/>
      <c r="W15" s="448"/>
      <c r="X15" s="448"/>
      <c r="Y15" s="448"/>
      <c r="Z15" s="448"/>
      <c r="AA15" s="448"/>
      <c r="AB15" s="441"/>
      <c r="AC15" s="441"/>
    </row>
    <row r="16" spans="2:29" x14ac:dyDescent="0.2">
      <c r="B16" s="449"/>
      <c r="C16" s="696" t="s">
        <v>1504</v>
      </c>
      <c r="D16" s="696" t="s">
        <v>1505</v>
      </c>
      <c r="E16" s="458" t="s">
        <v>1506</v>
      </c>
      <c r="F16" s="696" t="s">
        <v>1507</v>
      </c>
      <c r="G16" s="696" t="s">
        <v>1508</v>
      </c>
      <c r="H16" s="450"/>
      <c r="I16" s="450"/>
      <c r="J16" s="450"/>
      <c r="K16" s="450"/>
      <c r="L16" s="450"/>
      <c r="M16" s="450"/>
      <c r="N16" s="450"/>
      <c r="O16" s="450"/>
      <c r="P16" s="450"/>
      <c r="Q16" s="450"/>
      <c r="R16" s="450"/>
      <c r="S16" s="450"/>
      <c r="T16" s="450"/>
      <c r="U16" s="450"/>
      <c r="V16" s="450"/>
      <c r="W16" s="450"/>
      <c r="X16" s="450"/>
      <c r="Y16" s="450"/>
      <c r="Z16" s="450"/>
      <c r="AA16" s="450"/>
      <c r="AB16" s="449"/>
      <c r="AC16" s="449"/>
    </row>
    <row r="17" spans="2:29" ht="23.25" customHeight="1" x14ac:dyDescent="0.2">
      <c r="B17" s="449"/>
      <c r="C17" s="696"/>
      <c r="D17" s="696"/>
      <c r="E17" s="459">
        <f>C11</f>
        <v>6.5000000000000002E-2</v>
      </c>
      <c r="F17" s="696"/>
      <c r="G17" s="696"/>
      <c r="H17" s="450"/>
      <c r="I17" s="450"/>
      <c r="J17" s="450"/>
      <c r="K17" s="450"/>
      <c r="L17" s="450"/>
      <c r="M17" s="450"/>
      <c r="N17" s="450"/>
      <c r="O17" s="450"/>
      <c r="P17" s="450"/>
      <c r="Q17" s="450"/>
      <c r="R17" s="450"/>
      <c r="S17" s="450"/>
      <c r="T17" s="450"/>
      <c r="U17" s="450"/>
      <c r="V17" s="450"/>
      <c r="W17" s="450"/>
      <c r="X17" s="450"/>
      <c r="Y17" s="450"/>
      <c r="Z17" s="450"/>
      <c r="AA17" s="450"/>
      <c r="AB17" s="449"/>
      <c r="AC17" s="449"/>
    </row>
    <row r="18" spans="2:29" ht="18" customHeight="1" x14ac:dyDescent="0.2">
      <c r="B18" s="441"/>
      <c r="C18" s="460">
        <v>1</v>
      </c>
      <c r="D18" s="461"/>
      <c r="E18" s="461"/>
      <c r="F18" s="461"/>
      <c r="G18" s="461">
        <f>C10</f>
        <v>3648968424.5832658</v>
      </c>
      <c r="H18" s="451"/>
      <c r="I18" s="451"/>
      <c r="J18" s="451"/>
      <c r="K18" s="451"/>
      <c r="L18" s="451"/>
      <c r="M18" s="451"/>
      <c r="N18" s="451"/>
      <c r="O18" s="451"/>
      <c r="P18" s="451"/>
      <c r="Q18" s="451"/>
      <c r="R18" s="451"/>
      <c r="S18" s="451"/>
      <c r="T18" s="451"/>
      <c r="U18" s="451"/>
      <c r="V18" s="451"/>
      <c r="W18" s="451"/>
      <c r="X18" s="451"/>
      <c r="Y18" s="451"/>
      <c r="Z18" s="451"/>
      <c r="AA18" s="451"/>
      <c r="AB18" s="441"/>
      <c r="AC18" s="441"/>
    </row>
    <row r="19" spans="2:29" ht="18" customHeight="1" x14ac:dyDescent="0.2">
      <c r="B19" s="441"/>
      <c r="C19" s="460">
        <v>2</v>
      </c>
      <c r="D19" s="461">
        <f>$C$13</f>
        <v>507588621.72457355</v>
      </c>
      <c r="E19" s="461">
        <f>G18*$E$17</f>
        <v>237182947.59791228</v>
      </c>
      <c r="F19" s="461">
        <f>D19-E19</f>
        <v>270405674.1266613</v>
      </c>
      <c r="G19" s="461">
        <f>G18-F19</f>
        <v>3378562750.4566045</v>
      </c>
      <c r="H19" s="451"/>
      <c r="I19" s="451"/>
      <c r="J19" s="451"/>
      <c r="K19" s="451"/>
      <c r="L19" s="451"/>
      <c r="M19" s="451"/>
      <c r="N19" s="451"/>
      <c r="O19" s="451"/>
      <c r="P19" s="451"/>
      <c r="Q19" s="451"/>
      <c r="R19" s="451"/>
      <c r="S19" s="451"/>
      <c r="T19" s="451"/>
      <c r="U19" s="451"/>
      <c r="V19" s="451"/>
      <c r="W19" s="451"/>
      <c r="X19" s="451"/>
      <c r="Y19" s="451"/>
      <c r="Z19" s="451"/>
      <c r="AA19" s="451"/>
      <c r="AB19" s="441"/>
      <c r="AC19" s="441"/>
    </row>
    <row r="20" spans="2:29" ht="18" customHeight="1" x14ac:dyDescent="0.2">
      <c r="B20" s="441"/>
      <c r="C20" s="460">
        <v>3</v>
      </c>
      <c r="D20" s="461">
        <f t="shared" ref="D20:D28" si="0">$C$13</f>
        <v>507588621.72457355</v>
      </c>
      <c r="E20" s="461">
        <f t="shared" ref="E20:E28" si="1">G19*$E$17</f>
        <v>219606578.7796793</v>
      </c>
      <c r="F20" s="461">
        <f t="shared" ref="F20:F28" si="2">D20-E20</f>
        <v>287982042.94489425</v>
      </c>
      <c r="G20" s="461">
        <f t="shared" ref="G20:G28" si="3">G19-F20</f>
        <v>3090580707.5117102</v>
      </c>
      <c r="H20" s="451"/>
      <c r="I20" s="451"/>
      <c r="J20" s="451"/>
      <c r="K20" s="451"/>
      <c r="L20" s="451"/>
      <c r="M20" s="451"/>
      <c r="N20" s="451"/>
      <c r="O20" s="451"/>
      <c r="P20" s="451"/>
      <c r="Q20" s="451"/>
      <c r="R20" s="451"/>
      <c r="S20" s="451"/>
      <c r="T20" s="451"/>
      <c r="U20" s="451"/>
      <c r="V20" s="451"/>
      <c r="W20" s="451"/>
      <c r="X20" s="451"/>
      <c r="Y20" s="451"/>
      <c r="Z20" s="451"/>
      <c r="AA20" s="451"/>
      <c r="AB20" s="441"/>
      <c r="AC20" s="441"/>
    </row>
    <row r="21" spans="2:29" ht="18" customHeight="1" x14ac:dyDescent="0.2">
      <c r="B21" s="441"/>
      <c r="C21" s="460">
        <v>4</v>
      </c>
      <c r="D21" s="461">
        <f t="shared" si="0"/>
        <v>507588621.72457355</v>
      </c>
      <c r="E21" s="461">
        <f t="shared" si="1"/>
        <v>200887745.98826116</v>
      </c>
      <c r="F21" s="461">
        <f t="shared" si="2"/>
        <v>306700875.73631239</v>
      </c>
      <c r="G21" s="461">
        <f t="shared" si="3"/>
        <v>2783879831.7753978</v>
      </c>
      <c r="H21" s="451"/>
      <c r="I21" s="451"/>
      <c r="J21" s="451"/>
      <c r="K21" s="451"/>
      <c r="L21" s="451"/>
      <c r="M21" s="451"/>
      <c r="N21" s="451"/>
      <c r="O21" s="451"/>
      <c r="P21" s="451"/>
      <c r="Q21" s="451"/>
      <c r="R21" s="451"/>
      <c r="S21" s="451"/>
      <c r="T21" s="451"/>
      <c r="U21" s="451"/>
      <c r="V21" s="451"/>
      <c r="W21" s="451"/>
      <c r="X21" s="451"/>
      <c r="Y21" s="451"/>
      <c r="Z21" s="451"/>
      <c r="AA21" s="451"/>
      <c r="AB21" s="441"/>
      <c r="AC21" s="441"/>
    </row>
    <row r="22" spans="2:29" ht="18" customHeight="1" x14ac:dyDescent="0.2">
      <c r="B22" s="441"/>
      <c r="C22" s="460">
        <v>5</v>
      </c>
      <c r="D22" s="461">
        <f t="shared" si="0"/>
        <v>507588621.72457355</v>
      </c>
      <c r="E22" s="461">
        <f t="shared" si="1"/>
        <v>180952189.06540087</v>
      </c>
      <c r="F22" s="461">
        <f t="shared" si="2"/>
        <v>326636432.65917265</v>
      </c>
      <c r="G22" s="461">
        <f t="shared" si="3"/>
        <v>2457243399.1162252</v>
      </c>
      <c r="H22" s="451"/>
      <c r="I22" s="451"/>
      <c r="J22" s="451"/>
      <c r="K22" s="451"/>
      <c r="L22" s="451"/>
      <c r="M22" s="451"/>
      <c r="N22" s="451"/>
      <c r="O22" s="451"/>
      <c r="P22" s="451"/>
      <c r="Q22" s="451"/>
      <c r="R22" s="451"/>
      <c r="S22" s="451"/>
      <c r="T22" s="451"/>
      <c r="U22" s="451"/>
      <c r="V22" s="451"/>
      <c r="W22" s="451"/>
      <c r="X22" s="451"/>
      <c r="Y22" s="451"/>
      <c r="Z22" s="451"/>
      <c r="AA22" s="451"/>
      <c r="AB22" s="441"/>
      <c r="AC22" s="441"/>
    </row>
    <row r="23" spans="2:29" ht="18" customHeight="1" x14ac:dyDescent="0.2">
      <c r="B23" s="441"/>
      <c r="C23" s="460">
        <v>6</v>
      </c>
      <c r="D23" s="461">
        <f t="shared" si="0"/>
        <v>507588621.72457355</v>
      </c>
      <c r="E23" s="461">
        <f t="shared" si="1"/>
        <v>159720820.94255465</v>
      </c>
      <c r="F23" s="461">
        <f t="shared" si="2"/>
        <v>347867800.7820189</v>
      </c>
      <c r="G23" s="461">
        <f t="shared" si="3"/>
        <v>2109375598.3342063</v>
      </c>
      <c r="H23" s="451"/>
      <c r="I23" s="451"/>
      <c r="J23" s="451"/>
      <c r="K23" s="451"/>
      <c r="L23" s="451"/>
      <c r="M23" s="451"/>
      <c r="N23" s="451"/>
      <c r="O23" s="451"/>
      <c r="P23" s="451"/>
      <c r="Q23" s="451"/>
      <c r="R23" s="451"/>
      <c r="S23" s="451"/>
      <c r="T23" s="451"/>
      <c r="U23" s="451"/>
      <c r="V23" s="451"/>
      <c r="W23" s="451"/>
      <c r="X23" s="451"/>
      <c r="Y23" s="451"/>
      <c r="Z23" s="451"/>
      <c r="AA23" s="451"/>
      <c r="AB23" s="441"/>
      <c r="AC23" s="441"/>
    </row>
    <row r="24" spans="2:29" ht="18" customHeight="1" x14ac:dyDescent="0.2">
      <c r="B24" s="441"/>
      <c r="C24" s="460">
        <v>7</v>
      </c>
      <c r="D24" s="461">
        <f t="shared" si="0"/>
        <v>507588621.72457355</v>
      </c>
      <c r="E24" s="461">
        <f t="shared" si="1"/>
        <v>137109413.89172342</v>
      </c>
      <c r="F24" s="461">
        <f t="shared" si="2"/>
        <v>370479207.8328501</v>
      </c>
      <c r="G24" s="461">
        <f t="shared" si="3"/>
        <v>1738896390.5013561</v>
      </c>
      <c r="H24" s="451"/>
      <c r="I24" s="451"/>
      <c r="J24" s="451"/>
      <c r="K24" s="451"/>
      <c r="L24" s="451"/>
      <c r="M24" s="451"/>
      <c r="N24" s="451"/>
      <c r="O24" s="451"/>
      <c r="P24" s="451"/>
      <c r="Q24" s="451"/>
      <c r="R24" s="451"/>
      <c r="S24" s="451"/>
      <c r="T24" s="451"/>
      <c r="U24" s="451"/>
      <c r="V24" s="451"/>
      <c r="W24" s="451"/>
      <c r="X24" s="451"/>
      <c r="Y24" s="451"/>
      <c r="Z24" s="451"/>
      <c r="AA24" s="451"/>
      <c r="AB24" s="441"/>
      <c r="AC24" s="441"/>
    </row>
    <row r="25" spans="2:29" ht="18" customHeight="1" x14ac:dyDescent="0.2">
      <c r="B25" s="441"/>
      <c r="C25" s="460">
        <v>8</v>
      </c>
      <c r="D25" s="461">
        <f t="shared" si="0"/>
        <v>507588621.72457355</v>
      </c>
      <c r="E25" s="461">
        <f t="shared" si="1"/>
        <v>113028265.38258815</v>
      </c>
      <c r="F25" s="461">
        <f t="shared" si="2"/>
        <v>394560356.3419854</v>
      </c>
      <c r="G25" s="461">
        <f t="shared" si="3"/>
        <v>1344336034.1593707</v>
      </c>
      <c r="H25" s="451"/>
      <c r="I25" s="451"/>
      <c r="J25" s="451"/>
      <c r="K25" s="451"/>
      <c r="L25" s="451"/>
      <c r="M25" s="451"/>
      <c r="N25" s="451"/>
      <c r="O25" s="451"/>
      <c r="P25" s="451"/>
      <c r="Q25" s="451"/>
      <c r="R25" s="451"/>
      <c r="S25" s="451"/>
      <c r="T25" s="451"/>
      <c r="U25" s="451"/>
      <c r="V25" s="451"/>
      <c r="W25" s="451"/>
      <c r="X25" s="451"/>
      <c r="Y25" s="451"/>
      <c r="Z25" s="451"/>
      <c r="AA25" s="451"/>
      <c r="AB25" s="441"/>
      <c r="AC25" s="441"/>
    </row>
    <row r="26" spans="2:29" ht="18" customHeight="1" x14ac:dyDescent="0.2">
      <c r="B26" s="441"/>
      <c r="C26" s="460">
        <v>9</v>
      </c>
      <c r="D26" s="461">
        <f t="shared" si="0"/>
        <v>507588621.72457355</v>
      </c>
      <c r="E26" s="461">
        <f t="shared" si="1"/>
        <v>87381842.220359102</v>
      </c>
      <c r="F26" s="461">
        <f t="shared" si="2"/>
        <v>420206779.50421447</v>
      </c>
      <c r="G26" s="461">
        <f t="shared" si="3"/>
        <v>924129254.65515614</v>
      </c>
      <c r="H26" s="451"/>
      <c r="I26" s="451"/>
      <c r="J26" s="451"/>
      <c r="K26" s="451"/>
      <c r="L26" s="451"/>
      <c r="M26" s="451"/>
      <c r="N26" s="451"/>
      <c r="O26" s="451"/>
      <c r="P26" s="451"/>
      <c r="Q26" s="451"/>
      <c r="R26" s="451"/>
      <c r="S26" s="451"/>
      <c r="T26" s="451"/>
      <c r="U26" s="451"/>
      <c r="V26" s="451"/>
      <c r="W26" s="451"/>
      <c r="X26" s="451"/>
      <c r="Y26" s="451"/>
      <c r="Z26" s="451"/>
      <c r="AA26" s="451"/>
      <c r="AB26" s="441"/>
      <c r="AC26" s="441"/>
    </row>
    <row r="27" spans="2:29" ht="18" customHeight="1" x14ac:dyDescent="0.2">
      <c r="B27" s="441"/>
      <c r="C27" s="460">
        <v>10</v>
      </c>
      <c r="D27" s="461">
        <f t="shared" si="0"/>
        <v>507588621.72457355</v>
      </c>
      <c r="E27" s="461">
        <f t="shared" si="1"/>
        <v>60068401.552585147</v>
      </c>
      <c r="F27" s="461">
        <f t="shared" si="2"/>
        <v>447520220.17198843</v>
      </c>
      <c r="G27" s="461">
        <f t="shared" si="3"/>
        <v>476609034.48316771</v>
      </c>
      <c r="H27" s="451"/>
      <c r="I27" s="451"/>
      <c r="J27" s="451"/>
      <c r="K27" s="451"/>
      <c r="L27" s="451"/>
      <c r="M27" s="451"/>
      <c r="N27" s="451"/>
      <c r="O27" s="451"/>
      <c r="P27" s="451"/>
      <c r="Q27" s="451"/>
      <c r="R27" s="451"/>
      <c r="S27" s="451"/>
      <c r="T27" s="451"/>
      <c r="U27" s="451"/>
      <c r="V27" s="451"/>
      <c r="W27" s="451"/>
      <c r="X27" s="451"/>
      <c r="Y27" s="451"/>
      <c r="Z27" s="451"/>
      <c r="AA27" s="451"/>
      <c r="AB27" s="441"/>
      <c r="AC27" s="441"/>
    </row>
    <row r="28" spans="2:29" ht="18" customHeight="1" x14ac:dyDescent="0.2">
      <c r="B28" s="441"/>
      <c r="C28" s="460">
        <v>11</v>
      </c>
      <c r="D28" s="461">
        <f t="shared" si="0"/>
        <v>507588621.72457355</v>
      </c>
      <c r="E28" s="461">
        <f t="shared" si="1"/>
        <v>30979587.241405901</v>
      </c>
      <c r="F28" s="461">
        <f t="shared" si="2"/>
        <v>476609034.48316765</v>
      </c>
      <c r="G28" s="461">
        <f t="shared" si="3"/>
        <v>0</v>
      </c>
      <c r="H28" s="451"/>
      <c r="I28" s="451"/>
      <c r="J28" s="451"/>
      <c r="K28" s="451"/>
      <c r="L28" s="451"/>
      <c r="M28" s="451"/>
      <c r="N28" s="451"/>
      <c r="O28" s="451"/>
      <c r="P28" s="451"/>
      <c r="Q28" s="451"/>
      <c r="R28" s="451"/>
      <c r="S28" s="451"/>
      <c r="T28" s="451"/>
      <c r="U28" s="451"/>
      <c r="V28" s="451"/>
      <c r="W28" s="451"/>
      <c r="X28" s="451"/>
      <c r="Y28" s="451"/>
      <c r="Z28" s="451"/>
      <c r="AA28" s="451"/>
      <c r="AB28" s="441"/>
      <c r="AC28" s="441"/>
    </row>
    <row r="29" spans="2:29" x14ac:dyDescent="0.2">
      <c r="B29" s="441"/>
      <c r="C29" s="442"/>
      <c r="D29" s="443"/>
      <c r="E29" s="442"/>
      <c r="F29" s="443"/>
      <c r="G29" s="443"/>
      <c r="H29" s="443"/>
      <c r="I29" s="443"/>
      <c r="J29" s="443"/>
      <c r="K29" s="443"/>
      <c r="L29" s="443"/>
      <c r="M29" s="443"/>
      <c r="N29" s="443"/>
      <c r="O29" s="443"/>
      <c r="P29" s="443"/>
      <c r="Q29" s="443"/>
      <c r="R29" s="443"/>
      <c r="S29" s="443"/>
      <c r="T29" s="443"/>
      <c r="U29" s="443"/>
      <c r="V29" s="443"/>
      <c r="W29" s="443"/>
      <c r="X29" s="443"/>
      <c r="Y29" s="443"/>
      <c r="Z29" s="443"/>
      <c r="AA29" s="443"/>
      <c r="AB29" s="441"/>
      <c r="AC29" s="441"/>
    </row>
  </sheetData>
  <mergeCells count="9">
    <mergeCell ref="C4:D4"/>
    <mergeCell ref="E4:AA4"/>
    <mergeCell ref="B2:AC2"/>
    <mergeCell ref="C16:C17"/>
    <mergeCell ref="D16:D17"/>
    <mergeCell ref="F16:F17"/>
    <mergeCell ref="G16:G17"/>
    <mergeCell ref="C15:G15"/>
    <mergeCell ref="B3:M3"/>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I25"/>
  <sheetViews>
    <sheetView showGridLines="0" topLeftCell="A4" zoomScale="70" zoomScaleNormal="70" workbookViewId="0">
      <selection activeCell="A4" sqref="A1:XFD1048576"/>
    </sheetView>
  </sheetViews>
  <sheetFormatPr baseColWidth="10" defaultRowHeight="14.25" x14ac:dyDescent="0.2"/>
  <cols>
    <col min="1" max="1" width="15.5703125" style="44" customWidth="1"/>
    <col min="2" max="2" width="14.42578125" style="44" customWidth="1"/>
    <col min="3" max="3" width="15.85546875" style="44" customWidth="1"/>
    <col min="4" max="4" width="13.85546875" style="44" customWidth="1"/>
    <col min="5" max="5" width="54.140625" style="91" customWidth="1"/>
    <col min="6" max="16384" width="11.42578125" style="44"/>
  </cols>
  <sheetData>
    <row r="2" spans="1:9" ht="14.25" customHeight="1" x14ac:dyDescent="0.2">
      <c r="A2" s="60" t="s">
        <v>0</v>
      </c>
      <c r="B2" s="86" t="str">
        <f>'Beneficios Peaje'!C15</f>
        <v>PROYECTO DE MEJORA DE LA CALIDAD DEL SERVICIO DE ENERGÍA ELÉCTRICA Y DE LOS ÍNDICES DE CONFIABILIDAD A LOS USUARIOS DEL NORTE DEL CAUCA A TRAVÉS DEL CAMBIO DE LA TOPOLOGÍA DE LA RED</v>
      </c>
      <c r="C2" s="87"/>
      <c r="D2" s="87"/>
      <c r="E2" s="89"/>
      <c r="F2" s="87"/>
      <c r="G2" s="87"/>
    </row>
    <row r="4" spans="1:9" x14ac:dyDescent="0.2">
      <c r="A4" s="88" t="s">
        <v>999</v>
      </c>
      <c r="B4" s="88"/>
      <c r="C4" s="88"/>
      <c r="D4" s="88"/>
      <c r="E4" s="90"/>
      <c r="F4" s="88"/>
      <c r="G4" s="88"/>
      <c r="H4" s="88"/>
      <c r="I4" s="88"/>
    </row>
    <row r="6" spans="1:9" ht="51" customHeight="1" x14ac:dyDescent="0.2">
      <c r="A6" s="704" t="s">
        <v>1000</v>
      </c>
      <c r="B6" s="706" t="s">
        <v>997</v>
      </c>
      <c r="C6" s="706" t="s">
        <v>998</v>
      </c>
      <c r="D6" s="706" t="s">
        <v>1019</v>
      </c>
      <c r="E6" s="62" t="s">
        <v>1020</v>
      </c>
      <c r="F6" s="699" t="s">
        <v>17</v>
      </c>
      <c r="G6" s="700"/>
      <c r="H6" s="700"/>
      <c r="I6" s="701"/>
    </row>
    <row r="7" spans="1:9" x14ac:dyDescent="0.2">
      <c r="A7" s="705"/>
      <c r="B7" s="704"/>
      <c r="C7" s="704"/>
      <c r="D7" s="706"/>
      <c r="E7" s="63" t="s">
        <v>953</v>
      </c>
      <c r="F7" s="92" t="s">
        <v>1001</v>
      </c>
      <c r="G7" s="92" t="s">
        <v>1002</v>
      </c>
      <c r="H7" s="92" t="s">
        <v>1003</v>
      </c>
      <c r="I7" s="92" t="s">
        <v>1004</v>
      </c>
    </row>
    <row r="8" spans="1:9" ht="25.5" x14ac:dyDescent="0.2">
      <c r="A8" s="330"/>
      <c r="B8" s="330"/>
      <c r="C8" s="330" t="s">
        <v>1492</v>
      </c>
      <c r="D8" s="71"/>
      <c r="E8" s="93" t="s">
        <v>1493</v>
      </c>
      <c r="F8" s="101">
        <f>IF(Inversion!Q10&lt;&gt;0,1,0)</f>
        <v>1</v>
      </c>
      <c r="G8" s="102"/>
      <c r="H8" s="102"/>
      <c r="I8" s="103"/>
    </row>
    <row r="9" spans="1:9" x14ac:dyDescent="0.2">
      <c r="A9" s="702">
        <f>'Beneficios Peaje'!A15</f>
        <v>0</v>
      </c>
      <c r="B9" s="702" t="str">
        <f>'Beneficios Peaje'!B15</f>
        <v>Sistema de distribución - Redes norte del Cauca</v>
      </c>
      <c r="C9" s="702" t="str">
        <f>'Beneficios Peaje'!C15</f>
        <v>PROYECTO DE MEJORA DE LA CALIDAD DEL SERVICIO DE ENERGÍA ELÉCTRICA Y DE LOS ÍNDICES DE CONFIABILIDAD A LOS USUARIOS DEL NORTE DEL CAUCA A TRAVÉS DEL CAMBIO DE LA TOPOLOGÍA DE LA RED</v>
      </c>
      <c r="D9" s="71">
        <f>IF('Beneficios Peaje'!D15&lt;&gt;"",'Beneficios Peaje'!D15,"")</f>
        <v>1</v>
      </c>
      <c r="E9" s="93" t="str">
        <f>IF('Beneficios Peaje'!E15&lt;&gt;"",'Beneficios Peaje'!E15,"")</f>
        <v>Subestacion nueva 34,5kV (Punto de Reflexion)</v>
      </c>
      <c r="F9" s="101">
        <f>IF(Inversion!Q11&lt;&gt;0,1,0)</f>
        <v>0</v>
      </c>
      <c r="G9" s="102">
        <f>IF(Inversion!S11&lt;&gt;0,1,0)</f>
        <v>0</v>
      </c>
      <c r="H9" s="102">
        <f>IF(Inversion!U11&lt;&gt;0,1,0)</f>
        <v>0</v>
      </c>
      <c r="I9" s="103">
        <f>IF(Inversion!W11&lt;&gt;0,1,0)</f>
        <v>0</v>
      </c>
    </row>
    <row r="10" spans="1:9" ht="25.5" x14ac:dyDescent="0.2">
      <c r="A10" s="702"/>
      <c r="B10" s="702"/>
      <c r="C10" s="702"/>
      <c r="D10" s="71" t="str">
        <f>IF('Beneficios Peaje'!D16&lt;&gt;"",'Beneficios Peaje'!D16,"")</f>
        <v>1.1</v>
      </c>
      <c r="E10" s="93" t="str">
        <f>IF('Beneficios Peaje'!E16&lt;&gt;"",'Beneficios Peaje'!E16,"")</f>
        <v>Construccion de 6 bahias de línea reducidas (reconectador) 34,5kV</v>
      </c>
      <c r="F10" s="101">
        <f>IF(Inversion!Q12&lt;&gt;0,1,0)</f>
        <v>1</v>
      </c>
      <c r="G10" s="102">
        <f>IF(Inversion!S12&lt;&gt;0,1,0)</f>
        <v>1</v>
      </c>
      <c r="H10" s="102">
        <f>IF(Inversion!U12&lt;&gt;0,1,0)</f>
        <v>0</v>
      </c>
      <c r="I10" s="103">
        <f>IF(Inversion!W12&lt;&gt;0,1,0)</f>
        <v>0</v>
      </c>
    </row>
    <row r="11" spans="1:9" x14ac:dyDescent="0.2">
      <c r="A11" s="702"/>
      <c r="B11" s="702"/>
      <c r="C11" s="702"/>
      <c r="D11" s="71" t="str">
        <f>IF('Beneficios Peaje'!D17&lt;&gt;"",'Beneficios Peaje'!D17,"")</f>
        <v>1.2</v>
      </c>
      <c r="E11" s="93" t="str">
        <f>IF('Beneficios Peaje'!E17&lt;&gt;"",'Beneficios Peaje'!E17,"")</f>
        <v>Contruccion de barraje 34,5kV de la subestación</v>
      </c>
      <c r="F11" s="101">
        <f>IF(Inversion!Q13&lt;&gt;0,1,0)</f>
        <v>1</v>
      </c>
      <c r="G11" s="102">
        <f>IF(Inversion!S13&lt;&gt;0,1,0)</f>
        <v>1</v>
      </c>
      <c r="H11" s="102">
        <f>IF(Inversion!U13&lt;&gt;0,1,0)</f>
        <v>0</v>
      </c>
      <c r="I11" s="103">
        <f>IF(Inversion!W13&lt;&gt;0,1,0)</f>
        <v>0</v>
      </c>
    </row>
    <row r="12" spans="1:9" ht="25.5" x14ac:dyDescent="0.2">
      <c r="A12" s="702"/>
      <c r="B12" s="702"/>
      <c r="C12" s="702"/>
      <c r="D12" s="71" t="str">
        <f>IF('Beneficios Peaje'!D18&lt;&gt;"",'Beneficios Peaje'!D18,"")</f>
        <v>1.3</v>
      </c>
      <c r="E12" s="93" t="str">
        <f>IF('Beneficios Peaje'!E18&lt;&gt;"",'Beneficios Peaje'!E18,"")</f>
        <v>Contruccion de obras comunes, malla a tierra y serv. aux. de la subestación</v>
      </c>
      <c r="F12" s="101">
        <f>IF(Inversion!Q14&lt;&gt;0,1,0)</f>
        <v>1</v>
      </c>
      <c r="G12" s="102">
        <f>IF(Inversion!S14&lt;&gt;0,1,0)</f>
        <v>1</v>
      </c>
      <c r="H12" s="102">
        <f>IF(Inversion!U14&lt;&gt;0,1,0)</f>
        <v>0</v>
      </c>
      <c r="I12" s="103">
        <f>IF(Inversion!W14&lt;&gt;0,1,0)</f>
        <v>0</v>
      </c>
    </row>
    <row r="13" spans="1:9" x14ac:dyDescent="0.2">
      <c r="A13" s="702"/>
      <c r="B13" s="702"/>
      <c r="C13" s="702"/>
      <c r="D13" s="71">
        <f>IF('Beneficios Peaje'!D19&lt;&gt;"",'Beneficios Peaje'!D19,"")</f>
        <v>2</v>
      </c>
      <c r="E13" s="93" t="str">
        <f>IF('Beneficios Peaje'!E19&lt;&gt;"",'Beneficios Peaje'!E19,"")</f>
        <v>Nuevas Líneas y Tramos 34,5kV</v>
      </c>
      <c r="F13" s="101">
        <f>IF(Inversion!Q15&lt;&gt;0,1,0)</f>
        <v>0</v>
      </c>
      <c r="G13" s="102">
        <f>IF(Inversion!S15&lt;&gt;0,1,0)</f>
        <v>0</v>
      </c>
      <c r="H13" s="102">
        <f>IF(Inversion!U15&lt;&gt;0,1,0)</f>
        <v>0</v>
      </c>
      <c r="I13" s="103">
        <f>IF(Inversion!W15&lt;&gt;0,1,0)</f>
        <v>0</v>
      </c>
    </row>
    <row r="14" spans="1:9" ht="25.5" x14ac:dyDescent="0.2">
      <c r="A14" s="702"/>
      <c r="B14" s="702"/>
      <c r="C14" s="702"/>
      <c r="D14" s="71" t="str">
        <f>IF('Beneficios Peaje'!D20&lt;&gt;"",'Beneficios Peaje'!D20,"")</f>
        <v>2.1</v>
      </c>
      <c r="E14" s="93" t="str">
        <f>IF('Beneficios Peaje'!E20&lt;&gt;"",'Beneficios Peaje'!E20,"")</f>
        <v>Construcción Línea de S/E Nueva a Campo 3, calibre 4/0, longitud 1 Km</v>
      </c>
      <c r="F14" s="101">
        <f>IF(Inversion!Q16&lt;&gt;0,1,0)</f>
        <v>1</v>
      </c>
      <c r="G14" s="102">
        <f>IF(Inversion!S16&lt;&gt;0,1,0)</f>
        <v>1</v>
      </c>
      <c r="H14" s="102">
        <f>IF(Inversion!U16&lt;&gt;0,1,0)</f>
        <v>0</v>
      </c>
      <c r="I14" s="103">
        <f>IF(Inversion!W16&lt;&gt;0,1,0)</f>
        <v>0</v>
      </c>
    </row>
    <row r="15" spans="1:9" ht="25.5" x14ac:dyDescent="0.2">
      <c r="A15" s="702"/>
      <c r="B15" s="702"/>
      <c r="C15" s="702"/>
      <c r="D15" s="71" t="str">
        <f>IF('Beneficios Peaje'!D21&lt;&gt;"",'Beneficios Peaje'!D21,"")</f>
        <v>2.2</v>
      </c>
      <c r="E15" s="93" t="str">
        <f>IF('Beneficios Peaje'!E21&lt;&gt;"",'Beneficios Peaje'!E21,"")</f>
        <v>Construcción Línea de S/E Nueva a Campo 2, calibre 4/0, longitud 1 Km</v>
      </c>
      <c r="F15" s="101">
        <f>IF(Inversion!Q17&lt;&gt;0,1,0)</f>
        <v>1</v>
      </c>
      <c r="G15" s="102">
        <f>IF(Inversion!S17&lt;&gt;0,1,0)</f>
        <v>1</v>
      </c>
      <c r="H15" s="102">
        <f>IF(Inversion!U17&lt;&gt;0,1,0)</f>
        <v>0</v>
      </c>
      <c r="I15" s="103">
        <f>IF(Inversion!W17&lt;&gt;0,1,0)</f>
        <v>0</v>
      </c>
    </row>
    <row r="16" spans="1:9" ht="25.5" x14ac:dyDescent="0.2">
      <c r="A16" s="702"/>
      <c r="B16" s="702"/>
      <c r="C16" s="702"/>
      <c r="D16" s="71" t="str">
        <f>IF('Beneficios Peaje'!D22&lt;&gt;"",'Beneficios Peaje'!D22,"")</f>
        <v>2.3</v>
      </c>
      <c r="E16" s="93" t="str">
        <f>IF('Beneficios Peaje'!E22&lt;&gt;"",'Beneficios Peaje'!E22,"")</f>
        <v>Construcción Tramo de línea de S/E Nueva a Pto tejada, calibre 4/0, longitud 1 Km</v>
      </c>
      <c r="F16" s="101">
        <f>IF(Inversion!Q18&lt;&gt;0,1,0)</f>
        <v>1</v>
      </c>
      <c r="G16" s="102">
        <f>IF(Inversion!S18&lt;&gt;0,1,0)</f>
        <v>1</v>
      </c>
      <c r="H16" s="102">
        <f>IF(Inversion!U18&lt;&gt;0,1,0)</f>
        <v>0</v>
      </c>
      <c r="I16" s="103">
        <f>IF(Inversion!W18&lt;&gt;0,1,0)</f>
        <v>0</v>
      </c>
    </row>
    <row r="17" spans="1:9" ht="25.5" x14ac:dyDescent="0.2">
      <c r="A17" s="702"/>
      <c r="B17" s="702"/>
      <c r="C17" s="702"/>
      <c r="D17" s="71" t="str">
        <f>IF('Beneficios Peaje'!D23&lt;&gt;"",'Beneficios Peaje'!D23,"")</f>
        <v>2.4</v>
      </c>
      <c r="E17" s="93" t="str">
        <f>IF('Beneficios Peaje'!E23&lt;&gt;"",'Beneficios Peaje'!E23,"")</f>
        <v>Construcción Tramo de línea de S/E Nueva a Paraiso, calibre 4/0, longitud 3 Km</v>
      </c>
      <c r="F17" s="101">
        <f>IF(Inversion!Q19&lt;&gt;0,1,0)</f>
        <v>1</v>
      </c>
      <c r="G17" s="102">
        <f>IF(Inversion!S19&lt;&gt;0,1,0)</f>
        <v>1</v>
      </c>
      <c r="H17" s="102">
        <f>IF(Inversion!U19&lt;&gt;0,1,0)</f>
        <v>0</v>
      </c>
      <c r="I17" s="103">
        <f>IF(Inversion!W19&lt;&gt;0,1,0)</f>
        <v>0</v>
      </c>
    </row>
    <row r="18" spans="1:9" ht="25.5" x14ac:dyDescent="0.2">
      <c r="A18" s="702"/>
      <c r="B18" s="702"/>
      <c r="C18" s="702"/>
      <c r="D18" s="71" t="str">
        <f>IF('Beneficios Peaje'!D24&lt;&gt;"",'Beneficios Peaje'!D24,"")</f>
        <v>2.5</v>
      </c>
      <c r="E18" s="93" t="str">
        <f>IF('Beneficios Peaje'!E24&lt;&gt;"",'Beneficios Peaje'!E24,"")</f>
        <v>Construcción Tramo de línea de S/E Santander a Peaje, calibre 4/0, longitud 18 Km</v>
      </c>
      <c r="F18" s="101">
        <f>IF(Inversion!Q20&lt;&gt;0,1,0)</f>
        <v>1</v>
      </c>
      <c r="G18" s="102">
        <f>IF(Inversion!S20&lt;&gt;0,1,0)</f>
        <v>1</v>
      </c>
      <c r="H18" s="102">
        <f>IF(Inversion!U20&lt;&gt;0,1,0)</f>
        <v>0</v>
      </c>
      <c r="I18" s="103">
        <f>IF(Inversion!W20&lt;&gt;0,1,0)</f>
        <v>0</v>
      </c>
    </row>
    <row r="19" spans="1:9" ht="25.5" x14ac:dyDescent="0.2">
      <c r="A19" s="702"/>
      <c r="B19" s="702"/>
      <c r="C19" s="702"/>
      <c r="D19" s="71" t="str">
        <f>IF('Beneficios Peaje'!D25&lt;&gt;"",'Beneficios Peaje'!D25,"")</f>
        <v>2.6</v>
      </c>
      <c r="E19" s="93" t="str">
        <f>IF('Beneficios Peaje'!E25&lt;&gt;"",'Beneficios Peaje'!E25,"")</f>
        <v>Construcción Tramo de línea de Cabaña-Corinto2, calibre 4/0, longitud 0,5 Km</v>
      </c>
      <c r="F19" s="101">
        <f>IF(Inversion!Q21&lt;&gt;0,1,0)</f>
        <v>1</v>
      </c>
      <c r="G19" s="102">
        <f>IF(Inversion!S21&lt;&gt;0,1,0)</f>
        <v>1</v>
      </c>
      <c r="H19" s="102">
        <f>IF(Inversion!U21&lt;&gt;0,1,0)</f>
        <v>0</v>
      </c>
      <c r="I19" s="103">
        <f>IF(Inversion!W21&lt;&gt;0,1,0)</f>
        <v>0</v>
      </c>
    </row>
    <row r="20" spans="1:9" ht="25.5" x14ac:dyDescent="0.2">
      <c r="A20" s="702"/>
      <c r="B20" s="702"/>
      <c r="C20" s="702"/>
      <c r="D20" s="71" t="str">
        <f>IF('Beneficios Peaje'!D26&lt;&gt;"",'Beneficios Peaje'!D26,"")</f>
        <v>2.7</v>
      </c>
      <c r="E20" s="93" t="str">
        <f>IF('Beneficios Peaje'!E26&lt;&gt;"",'Beneficios Peaje'!E26,"")</f>
        <v>Construcción Línea entre S/E Santander y S/E Nueva, calibre 266,8, longitud 30 Km</v>
      </c>
      <c r="F20" s="101">
        <f>IF(Inversion!Q22&lt;&gt;0,1,0)</f>
        <v>1</v>
      </c>
      <c r="G20" s="102">
        <f>IF(Inversion!S22&lt;&gt;0,1,0)</f>
        <v>1</v>
      </c>
      <c r="H20" s="102">
        <f>IF(Inversion!U22&lt;&gt;0,1,0)</f>
        <v>0</v>
      </c>
      <c r="I20" s="103">
        <f>IF(Inversion!W22&lt;&gt;0,1,0)</f>
        <v>0</v>
      </c>
    </row>
    <row r="21" spans="1:9" ht="25.5" x14ac:dyDescent="0.2">
      <c r="A21" s="702"/>
      <c r="B21" s="702"/>
      <c r="C21" s="702"/>
      <c r="D21" s="71" t="str">
        <f>IF('Beneficios Peaje'!D27&lt;&gt;"",'Beneficios Peaje'!D27,"")</f>
        <v>2.8</v>
      </c>
      <c r="E21" s="93" t="str">
        <f>IF('Beneficios Peaje'!E27&lt;&gt;"",'Beneficios Peaje'!E27,"")</f>
        <v>Construcción Línea entre S/E Cabaña y S/E Nueva, calibre 266,8, longitud 7 Km</v>
      </c>
      <c r="F21" s="101">
        <f>IF(Inversion!Q23&lt;&gt;0,1,0)</f>
        <v>1</v>
      </c>
      <c r="G21" s="102">
        <f>IF(Inversion!S23&lt;&gt;0,1,0)</f>
        <v>1</v>
      </c>
      <c r="H21" s="102">
        <f>IF(Inversion!U23&lt;&gt;0,1,0)</f>
        <v>0</v>
      </c>
      <c r="I21" s="103">
        <f>IF(Inversion!W23&lt;&gt;0,1,0)</f>
        <v>0</v>
      </c>
    </row>
    <row r="22" spans="1:9" x14ac:dyDescent="0.2">
      <c r="A22" s="702"/>
      <c r="B22" s="702"/>
      <c r="C22" s="702"/>
      <c r="D22" s="71">
        <f>IF('Beneficios Peaje'!D28&lt;&gt;"",'Beneficios Peaje'!D28,"")</f>
        <v>3</v>
      </c>
      <c r="E22" s="93" t="str">
        <f>IF('Beneficios Peaje'!E28&lt;&gt;"",'Beneficios Peaje'!E28,"")</f>
        <v>Repotenciación de Lineas</v>
      </c>
      <c r="F22" s="101">
        <f>IF(Inversion!Q24&lt;&gt;0,1,0)</f>
        <v>0</v>
      </c>
      <c r="G22" s="102">
        <f>IF(Inversion!S24&lt;&gt;0,1,0)</f>
        <v>0</v>
      </c>
      <c r="H22" s="102">
        <f>IF(Inversion!U24&lt;&gt;0,1,0)</f>
        <v>0</v>
      </c>
      <c r="I22" s="103">
        <f>IF(Inversion!W24&lt;&gt;0,1,0)</f>
        <v>0</v>
      </c>
    </row>
    <row r="23" spans="1:9" ht="25.5" x14ac:dyDescent="0.2">
      <c r="A23" s="702"/>
      <c r="B23" s="702"/>
      <c r="C23" s="702"/>
      <c r="D23" s="71" t="str">
        <f>IF('Beneficios Peaje'!D29&lt;&gt;"",'Beneficios Peaje'!D29,"")</f>
        <v>3.1</v>
      </c>
      <c r="E23" s="93" t="str">
        <f>IF('Beneficios Peaje'!E29&lt;&gt;"",'Beneficios Peaje'!E29,"")</f>
        <v>Construcción Línea Santander-Japio 4/0, calibre 266,8, longitud 8 Km</v>
      </c>
      <c r="F23" s="101">
        <f>IF(Inversion!Q25&lt;&gt;0,1,0)</f>
        <v>1</v>
      </c>
      <c r="G23" s="102">
        <f>IF(Inversion!S25&lt;&gt;0,1,0)</f>
        <v>1</v>
      </c>
      <c r="H23" s="102">
        <f>IF(Inversion!U25&lt;&gt;0,1,0)</f>
        <v>0</v>
      </c>
      <c r="I23" s="103">
        <f>IF(Inversion!W25&lt;&gt;0,1,0)</f>
        <v>0</v>
      </c>
    </row>
    <row r="24" spans="1:9" ht="25.5" x14ac:dyDescent="0.2">
      <c r="A24" s="703"/>
      <c r="B24" s="703"/>
      <c r="C24" s="703"/>
      <c r="D24" s="71" t="str">
        <f>IF('Beneficios Peaje'!D31&lt;&gt;"",'Beneficios Peaje'!D31,"")</f>
        <v>3.3</v>
      </c>
      <c r="E24" s="94" t="str">
        <f>IF('Beneficios Peaje'!E31&lt;&gt;"",'Beneficios Peaje'!E31,"")</f>
        <v>Construcción Línea Corinto-Miranda 2/0, calibre 4/0, longitud 16 Km</v>
      </c>
      <c r="F24" s="101">
        <f>IF(Inversion!Q26&lt;&gt;0,1,0)</f>
        <v>1</v>
      </c>
      <c r="G24" s="102">
        <f>IF(Inversion!S26&lt;&gt;0,1,0)</f>
        <v>1</v>
      </c>
      <c r="H24" s="102">
        <f>IF(Inversion!U26&lt;&gt;0,1,0)</f>
        <v>0</v>
      </c>
      <c r="I24" s="103">
        <f>IF(Inversion!W26&lt;&gt;0,1,0)</f>
        <v>0</v>
      </c>
    </row>
    <row r="25" spans="1:9" x14ac:dyDescent="0.2">
      <c r="A25" s="95" t="s">
        <v>1005</v>
      </c>
      <c r="B25" s="96"/>
      <c r="C25" s="96"/>
      <c r="D25" s="96"/>
      <c r="E25" s="97"/>
      <c r="F25" s="98">
        <f>IF(Inversion!Q41&lt;&gt;0,1,0)</f>
        <v>1</v>
      </c>
      <c r="G25" s="99">
        <f>IF(Inversion!S41&lt;&gt;0,1,0)</f>
        <v>1</v>
      </c>
      <c r="H25" s="99">
        <f>IF(Inversion!U41&lt;&gt;0,1,0)</f>
        <v>0</v>
      </c>
      <c r="I25" s="100">
        <f>IF(Inversion!W41&lt;&gt;0,1,0)</f>
        <v>0</v>
      </c>
    </row>
  </sheetData>
  <mergeCells count="8">
    <mergeCell ref="F6:I6"/>
    <mergeCell ref="A9:A24"/>
    <mergeCell ref="B9:B24"/>
    <mergeCell ref="C9:C24"/>
    <mergeCell ref="A6:A7"/>
    <mergeCell ref="B6:B7"/>
    <mergeCell ref="C6:C7"/>
    <mergeCell ref="D6:D7"/>
  </mergeCells>
  <conditionalFormatting sqref="F9:I24">
    <cfRule type="cellIs" dxfId="4" priority="5" operator="equal">
      <formula>1</formula>
    </cfRule>
  </conditionalFormatting>
  <conditionalFormatting sqref="F9:I25">
    <cfRule type="cellIs" dxfId="3" priority="4" operator="equal">
      <formula>0</formula>
    </cfRule>
  </conditionalFormatting>
  <conditionalFormatting sqref="F25:I25">
    <cfRule type="cellIs" dxfId="2" priority="3" operator="equal">
      <formula>1</formula>
    </cfRule>
  </conditionalFormatting>
  <conditionalFormatting sqref="F8:I8">
    <cfRule type="cellIs" dxfId="1" priority="2" operator="equal">
      <formula>1</formula>
    </cfRule>
  </conditionalFormatting>
  <conditionalFormatting sqref="F8:I8">
    <cfRule type="cellIs" dxfId="0" priority="1" operator="equal">
      <formula>0</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56"/>
  <sheetViews>
    <sheetView showGridLines="0" zoomScale="68" zoomScaleNormal="68" workbookViewId="0">
      <selection activeCell="C15" sqref="C15:C45"/>
    </sheetView>
  </sheetViews>
  <sheetFormatPr baseColWidth="10" defaultRowHeight="12.75" x14ac:dyDescent="0.2"/>
  <cols>
    <col min="1" max="1" width="1.140625" style="45" customWidth="1"/>
    <col min="2" max="2" width="31.42578125" style="61" customWidth="1"/>
    <col min="3" max="3" width="38.5703125" style="61" customWidth="1"/>
    <col min="4" max="4" width="17.42578125" style="195" customWidth="1"/>
    <col min="5" max="5" width="36" style="61" customWidth="1"/>
    <col min="6" max="6" width="15.28515625" style="45" customWidth="1"/>
    <col min="7" max="7" width="9.140625" style="45" customWidth="1"/>
    <col min="8" max="8" width="46.42578125" style="45" customWidth="1"/>
    <col min="9" max="9" width="7.7109375" style="46" customWidth="1"/>
    <col min="10" max="10" width="7.5703125" style="46" customWidth="1"/>
    <col min="11" max="11" width="14" style="45" customWidth="1"/>
    <col min="12" max="12" width="15.42578125" style="45" customWidth="1"/>
    <col min="13" max="13" width="16.85546875" style="45" customWidth="1"/>
    <col min="14" max="14" width="17.42578125" style="45" customWidth="1"/>
    <col min="15" max="15" width="18.140625" style="45" customWidth="1"/>
    <col min="16" max="16" width="19.7109375" style="45" customWidth="1"/>
    <col min="17" max="17" width="23.140625" style="45" customWidth="1"/>
    <col min="18" max="18" width="45.28515625" style="45" customWidth="1"/>
    <col min="19" max="19" width="5" style="46" customWidth="1"/>
    <col min="20" max="20" width="5.7109375" style="46" customWidth="1"/>
    <col min="21" max="21" width="14" style="45" customWidth="1"/>
    <col min="22" max="22" width="15.42578125" style="45" customWidth="1"/>
    <col min="23" max="23" width="16.85546875" style="45" customWidth="1"/>
    <col min="24" max="24" width="17.42578125" style="45" customWidth="1"/>
    <col min="25" max="25" width="14.42578125" style="45" customWidth="1"/>
    <col min="26" max="26" width="21.85546875" style="45" customWidth="1"/>
    <col min="27" max="27" width="11.5703125" style="45" customWidth="1"/>
    <col min="28" max="28" width="19.5703125" style="45" customWidth="1"/>
    <col min="29" max="29" width="7.7109375" style="45" customWidth="1"/>
    <col min="30" max="30" width="17.140625" style="45" customWidth="1"/>
    <col min="31" max="31" width="6.5703125" style="45" customWidth="1"/>
    <col min="32" max="32" width="7" style="45" customWidth="1"/>
    <col min="33" max="33" width="13.140625" style="45" bestFit="1" customWidth="1"/>
    <col min="34" max="34" width="11.42578125" style="45"/>
    <col min="35" max="35" width="21.140625" style="45" customWidth="1"/>
    <col min="36" max="46" width="11.42578125" style="45"/>
    <col min="47" max="47" width="13.5703125" style="45" customWidth="1"/>
    <col min="48" max="48" width="14.42578125" style="45" customWidth="1"/>
    <col min="49" max="16384" width="11.42578125" style="45"/>
  </cols>
  <sheetData>
    <row r="2" spans="1:35" x14ac:dyDescent="0.2">
      <c r="A2" s="239"/>
      <c r="B2" s="235"/>
      <c r="C2" s="235"/>
      <c r="D2" s="240"/>
      <c r="E2" s="235"/>
      <c r="H2" s="46"/>
      <c r="I2" s="45"/>
      <c r="J2" s="45"/>
      <c r="Q2" s="46"/>
      <c r="R2" s="46"/>
      <c r="S2" s="45"/>
      <c r="T2" s="45"/>
    </row>
    <row r="3" spans="1:35" x14ac:dyDescent="0.2">
      <c r="A3" s="715" t="s">
        <v>1379</v>
      </c>
      <c r="B3" s="715"/>
      <c r="C3" s="715"/>
      <c r="D3" s="715"/>
      <c r="E3" s="715"/>
      <c r="H3" s="47"/>
      <c r="I3" s="45"/>
      <c r="J3" s="45"/>
      <c r="R3" s="47"/>
      <c r="S3" s="45"/>
      <c r="T3" s="45"/>
    </row>
    <row r="4" spans="1:35" x14ac:dyDescent="0.2">
      <c r="A4" s="239"/>
      <c r="B4" s="235"/>
      <c r="C4" s="235"/>
      <c r="D4" s="240"/>
      <c r="E4" s="235"/>
    </row>
    <row r="5" spans="1:35" x14ac:dyDescent="0.2">
      <c r="A5" s="232" t="s">
        <v>950</v>
      </c>
      <c r="B5" s="241"/>
      <c r="C5" s="242" t="s">
        <v>1044</v>
      </c>
      <c r="D5" s="243" t="s">
        <v>1043</v>
      </c>
      <c r="E5" s="235"/>
    </row>
    <row r="6" spans="1:35" x14ac:dyDescent="0.2">
      <c r="A6" s="244" t="s">
        <v>1007</v>
      </c>
      <c r="B6" s="245"/>
      <c r="C6" s="246">
        <v>0.13</v>
      </c>
      <c r="D6" s="247">
        <v>0.13900000000000001</v>
      </c>
      <c r="E6" s="235"/>
    </row>
    <row r="7" spans="1:35" x14ac:dyDescent="0.2">
      <c r="A7" s="244" t="s">
        <v>1045</v>
      </c>
      <c r="B7" s="245"/>
      <c r="C7" s="233">
        <v>1</v>
      </c>
      <c r="D7" s="248">
        <f>C11-C10</f>
        <v>1</v>
      </c>
      <c r="E7" s="235"/>
    </row>
    <row r="8" spans="1:35" ht="15.75" customHeight="1" x14ac:dyDescent="0.2">
      <c r="A8" s="244" t="s">
        <v>1048</v>
      </c>
      <c r="B8" s="245"/>
      <c r="C8" s="233" t="s">
        <v>1046</v>
      </c>
      <c r="D8" s="248" t="s">
        <v>1047</v>
      </c>
      <c r="E8" s="235"/>
      <c r="L8" s="67"/>
      <c r="M8" s="66"/>
    </row>
    <row r="9" spans="1:35" x14ac:dyDescent="0.2">
      <c r="A9" s="239"/>
      <c r="B9" s="239"/>
      <c r="C9" s="239"/>
      <c r="D9" s="240"/>
      <c r="E9" s="235"/>
      <c r="I9" s="45"/>
      <c r="J9" s="45"/>
      <c r="S9" s="45"/>
      <c r="T9" s="45"/>
    </row>
    <row r="10" spans="1:35" x14ac:dyDescent="0.2">
      <c r="A10" s="714" t="s">
        <v>1049</v>
      </c>
      <c r="B10" s="714"/>
      <c r="C10" s="242">
        <v>2012</v>
      </c>
      <c r="D10" s="240"/>
      <c r="E10" s="235"/>
      <c r="I10" s="45"/>
      <c r="J10" s="45"/>
      <c r="S10" s="45"/>
      <c r="T10" s="45"/>
    </row>
    <row r="11" spans="1:35" x14ac:dyDescent="0.2">
      <c r="A11" s="714" t="s">
        <v>1050</v>
      </c>
      <c r="B11" s="714"/>
      <c r="C11" s="242">
        <v>2013</v>
      </c>
      <c r="D11" s="240"/>
      <c r="E11" s="235"/>
      <c r="I11" s="45"/>
      <c r="J11" s="45"/>
      <c r="S11" s="45"/>
      <c r="T11" s="45"/>
    </row>
    <row r="12" spans="1:35" hidden="1" x14ac:dyDescent="0.2">
      <c r="F12" s="719" t="s">
        <v>994</v>
      </c>
      <c r="G12" s="719"/>
      <c r="H12" s="719"/>
      <c r="I12" s="719"/>
      <c r="J12" s="719"/>
      <c r="K12" s="719"/>
      <c r="L12" s="719"/>
      <c r="M12" s="719"/>
      <c r="N12" s="719"/>
      <c r="O12" s="719"/>
      <c r="P12" s="720"/>
      <c r="Q12" s="720"/>
      <c r="R12" s="720"/>
      <c r="S12" s="720"/>
      <c r="T12" s="720"/>
      <c r="U12" s="720"/>
      <c r="V12" s="720"/>
      <c r="W12" s="720"/>
      <c r="X12" s="720"/>
      <c r="Y12" s="720"/>
      <c r="Z12" s="713" t="s">
        <v>1042</v>
      </c>
      <c r="AA12" s="713"/>
    </row>
    <row r="13" spans="1:35" s="61" customFormat="1" ht="39" customHeight="1" x14ac:dyDescent="0.2">
      <c r="A13" s="704" t="s">
        <v>947</v>
      </c>
      <c r="B13" s="706" t="s">
        <v>997</v>
      </c>
      <c r="C13" s="706" t="s">
        <v>998</v>
      </c>
      <c r="D13" s="704" t="s">
        <v>1019</v>
      </c>
      <c r="E13" s="62" t="s">
        <v>1020</v>
      </c>
      <c r="F13" s="717" t="s">
        <v>951</v>
      </c>
      <c r="G13" s="718"/>
      <c r="H13" s="718"/>
      <c r="I13" s="718"/>
      <c r="J13" s="718"/>
      <c r="K13" s="718"/>
      <c r="L13" s="718"/>
      <c r="M13" s="718"/>
      <c r="N13" s="718"/>
      <c r="O13" s="718"/>
      <c r="P13" s="710" t="s">
        <v>952</v>
      </c>
      <c r="Q13" s="710"/>
      <c r="R13" s="710"/>
      <c r="S13" s="710"/>
      <c r="T13" s="710"/>
      <c r="U13" s="710"/>
      <c r="V13" s="710"/>
      <c r="W13" s="710"/>
      <c r="X13" s="710"/>
      <c r="Y13" s="710"/>
      <c r="Z13" s="710" t="s">
        <v>1006</v>
      </c>
      <c r="AA13" s="710"/>
      <c r="AB13" s="711" t="s">
        <v>981</v>
      </c>
      <c r="AC13" s="711"/>
      <c r="AD13" s="711"/>
      <c r="AE13" s="710" t="s">
        <v>982</v>
      </c>
      <c r="AF13" s="710"/>
      <c r="AG13" s="265" t="s">
        <v>983</v>
      </c>
      <c r="AH13" s="265" t="s">
        <v>1008</v>
      </c>
      <c r="AI13" s="265" t="s">
        <v>1035</v>
      </c>
    </row>
    <row r="14" spans="1:35" s="85" customFormat="1" ht="57.75" customHeight="1" x14ac:dyDescent="0.25">
      <c r="A14" s="712"/>
      <c r="B14" s="704"/>
      <c r="C14" s="704"/>
      <c r="D14" s="716"/>
      <c r="E14" s="63" t="s">
        <v>953</v>
      </c>
      <c r="F14" s="48" t="s">
        <v>962</v>
      </c>
      <c r="G14" s="48" t="s">
        <v>954</v>
      </c>
      <c r="H14" s="49" t="s">
        <v>955</v>
      </c>
      <c r="I14" s="49" t="s">
        <v>956</v>
      </c>
      <c r="J14" s="49" t="s">
        <v>957</v>
      </c>
      <c r="K14" s="49" t="s">
        <v>958</v>
      </c>
      <c r="L14" s="49" t="s">
        <v>959</v>
      </c>
      <c r="M14" s="50" t="s">
        <v>960</v>
      </c>
      <c r="N14" s="50" t="s">
        <v>961</v>
      </c>
      <c r="O14" s="249" t="s">
        <v>963</v>
      </c>
      <c r="P14" s="265" t="s">
        <v>962</v>
      </c>
      <c r="Q14" s="265" t="s">
        <v>954</v>
      </c>
      <c r="R14" s="265" t="s">
        <v>955</v>
      </c>
      <c r="S14" s="265" t="s">
        <v>956</v>
      </c>
      <c r="T14" s="265" t="s">
        <v>957</v>
      </c>
      <c r="U14" s="265" t="s">
        <v>958</v>
      </c>
      <c r="V14" s="265" t="s">
        <v>959</v>
      </c>
      <c r="W14" s="265" t="s">
        <v>960</v>
      </c>
      <c r="X14" s="265" t="s">
        <v>961</v>
      </c>
      <c r="Y14" s="265" t="s">
        <v>963</v>
      </c>
      <c r="Z14" s="265" t="s">
        <v>996</v>
      </c>
      <c r="AA14" s="265" t="s">
        <v>993</v>
      </c>
      <c r="AB14" s="265" t="s">
        <v>964</v>
      </c>
      <c r="AC14" s="265" t="s">
        <v>992</v>
      </c>
      <c r="AD14" s="265" t="s">
        <v>965</v>
      </c>
      <c r="AE14" s="265" t="s">
        <v>984</v>
      </c>
      <c r="AF14" s="265" t="s">
        <v>985</v>
      </c>
      <c r="AG14" s="265" t="s">
        <v>965</v>
      </c>
      <c r="AH14" s="265" t="s">
        <v>1009</v>
      </c>
      <c r="AI14" s="265" t="s">
        <v>1010</v>
      </c>
    </row>
    <row r="15" spans="1:35" s="61" customFormat="1" ht="25.5" x14ac:dyDescent="0.2">
      <c r="A15" s="707"/>
      <c r="B15" s="707" t="s">
        <v>1051</v>
      </c>
      <c r="C15" s="707" t="s">
        <v>1480</v>
      </c>
      <c r="D15" s="196">
        <v>1</v>
      </c>
      <c r="E15" s="135" t="s">
        <v>1425</v>
      </c>
      <c r="F15" s="118"/>
      <c r="G15" s="119"/>
      <c r="H15" s="117" t="str">
        <f>IFERROR(VLOOKUP(G15,'Costo UC'!$A$7:$I$465,2,FALSE),"")</f>
        <v/>
      </c>
      <c r="I15" s="117" t="str">
        <f>IFERROR(VLOOKUP(G15,'Costo UC'!$A$7:$I$465,7,FALSE),"")</f>
        <v/>
      </c>
      <c r="J15" s="117" t="str">
        <f>IFERROR(VLOOKUP(G15,'Costo UC'!$A$7:$I$465,8,FALSE),"")</f>
        <v/>
      </c>
      <c r="K15" s="120" t="str">
        <f>IFERROR(VLOOKUP(G15,'Costo UC'!$A$7:$I$465,3,FALSE),"")</f>
        <v/>
      </c>
      <c r="L15" s="120" t="str">
        <f>IFERROR(VLOOKUP(G15,'Costo UC'!$A$7:$I$465,4,FALSE),"")</f>
        <v/>
      </c>
      <c r="M15" s="120" t="str">
        <f>IFERROR(VLOOKUP(G15,'Costo UC'!$A$7:$I$465,5,FALSE),"")</f>
        <v/>
      </c>
      <c r="N15" s="120" t="str">
        <f>IFERROR(VLOOKUP(G15,'Costo UC'!$A$7:$I$465,6,FALSE),"")</f>
        <v/>
      </c>
      <c r="O15" s="121">
        <f>IFERROR(IF(VLOOKUP(G15,'Costo UC'!$A$7:$I$465,9,FALSE)="TRANSFORMADORES",L15+M15*F15,IF(VLOOKUP(G15,'Costo UC'!$A$7:$I$465,9,FALSE)="EQUIPOS DE COMPENSACION",L15+N15*F15,K15*F15)),0)</f>
        <v>0</v>
      </c>
      <c r="P15" s="252">
        <f>Inversion!D11</f>
        <v>0</v>
      </c>
      <c r="Q15" s="253">
        <f>Inversion!B11</f>
        <v>0</v>
      </c>
      <c r="R15" s="242" t="str">
        <f>IFERROR(VLOOKUP(Q15,'Costo UC'!$A$7:$I$465,2,FALSE),"")</f>
        <v/>
      </c>
      <c r="S15" s="242" t="str">
        <f>IFERROR(VLOOKUP(Q15,'Costo UC'!$A$7:$I$465,7,FALSE),"")</f>
        <v/>
      </c>
      <c r="T15" s="242" t="str">
        <f>IFERROR(VLOOKUP(Q15,'Costo UC'!$A$7:$I$465,8,FALSE),"")</f>
        <v/>
      </c>
      <c r="U15" s="254" t="str">
        <f>IFERROR(VLOOKUP(Q15,'Costo UC'!$A$7:$I$465,3,FALSE),"")</f>
        <v/>
      </c>
      <c r="V15" s="254" t="str">
        <f>IFERROR(VLOOKUP(Q15,'Costo UC'!$A$7:$I$465,4,FALSE),"")</f>
        <v/>
      </c>
      <c r="W15" s="254" t="str">
        <f>IFERROR(VLOOKUP(Q15,'Costo UC'!$A$7:$I$465,5,FALSE),"")</f>
        <v/>
      </c>
      <c r="X15" s="254" t="str">
        <f>IFERROR(VLOOKUP(Q15,'Costo UC'!$A$7:$I$465,6,FALSE),"")</f>
        <v/>
      </c>
      <c r="Y15" s="254">
        <f>IFERROR(IF(VLOOKUP(Q15,'Costo UC'!$A$7:$I$465,9,FALSE)="TRANSFORMADORES",V15+W15*P15,IF(VLOOKUP(Q15,'Costo UC'!$A$7:$I$465,9,FALSE)="EQUIPOS DE COMPENSACION",V15+X15*P15,U15*P15)),0)</f>
        <v>0</v>
      </c>
      <c r="Z15" s="254">
        <f>Y15*IF(AA15="",100%,AA15)</f>
        <v>0</v>
      </c>
      <c r="AA15" s="255"/>
      <c r="AB15" s="256" t="str">
        <f t="shared" ref="AB15:AB24" si="0">IFERROR(-PMT(AC15,S15,Y15-O15),"")</f>
        <v/>
      </c>
      <c r="AC15" s="255">
        <f>IF(Q15=0,0,IF(EXACT(MID(Q15,1,2),"N4"),$C$6,$D$6))</f>
        <v>0</v>
      </c>
      <c r="AD15" s="242">
        <f>IF(Q15=0,0,IF(EXACT(MID(Q15,1,2),"N4"),$C$7,$D$7))</f>
        <v>0</v>
      </c>
      <c r="AE15" s="242" t="str">
        <f>IF(Inversion!Q11&lt;&gt;0,1,IF(Inversion!S11&lt;&gt;0,2,IF(Inversion!U11&lt;&gt;0,3,IF(Inversion!W11&lt;&gt;0,4,""))))</f>
        <v/>
      </c>
      <c r="AF15" s="242" t="str">
        <f>IF(Inversion!W11&lt;&gt;0,4,IF(Inversion!U11&lt;&gt;0,3,IF(Inversion!S11&lt;&gt;0,2,IF(Inversion!Q11&lt;&gt;0,1,""))))</f>
        <v/>
      </c>
      <c r="AG15" s="242" t="str">
        <f>IF(AF15&lt;&gt;"",AF15+1,"")</f>
        <v/>
      </c>
      <c r="AH15" s="242" t="str">
        <f>IF(AND(O15=0,Y15=0),"NA",IF(O15&lt;&gt;0,"Reposicion","Nueva"))</f>
        <v>NA</v>
      </c>
      <c r="AI15" s="254">
        <f t="shared" ref="AI15:AI24" si="1">IF(AH15="",0,IF(AH15="Nueva",Z15,0))</f>
        <v>0</v>
      </c>
    </row>
    <row r="16" spans="1:35" s="61" customFormat="1" ht="25.5" x14ac:dyDescent="0.2">
      <c r="A16" s="708"/>
      <c r="B16" s="708"/>
      <c r="C16" s="708"/>
      <c r="D16" s="197" t="s">
        <v>1336</v>
      </c>
      <c r="E16" s="110" t="s">
        <v>1426</v>
      </c>
      <c r="F16" s="118"/>
      <c r="G16" s="119"/>
      <c r="H16" s="117" t="str">
        <f>IFERROR(VLOOKUP(G16,'Costo UC'!$A$7:$I$465,2,FALSE),"")</f>
        <v/>
      </c>
      <c r="I16" s="117" t="str">
        <f>IFERROR(VLOOKUP(G16,'Costo UC'!$A$7:$I$465,7,FALSE),"")</f>
        <v/>
      </c>
      <c r="J16" s="117" t="str">
        <f>IFERROR(VLOOKUP(G16,'Costo UC'!$A$7:$I$465,8,FALSE),"")</f>
        <v/>
      </c>
      <c r="K16" s="120" t="str">
        <f>IFERROR(VLOOKUP(G16,'Costo UC'!$A$7:$I$465,3,FALSE),"")</f>
        <v/>
      </c>
      <c r="L16" s="120" t="str">
        <f>IFERROR(VLOOKUP(G16,'Costo UC'!$A$7:$I$465,4,FALSE),"")</f>
        <v/>
      </c>
      <c r="M16" s="120" t="str">
        <f>IFERROR(VLOOKUP(G16,'Costo UC'!$A$7:$I$465,5,FALSE),"")</f>
        <v/>
      </c>
      <c r="N16" s="120" t="str">
        <f>IFERROR(VLOOKUP(G16,'Costo UC'!$A$7:$I$465,6,FALSE),"")</f>
        <v/>
      </c>
      <c r="O16" s="121">
        <f>IFERROR(IF(VLOOKUP(G16,'Costo UC'!$A$7:$I$465,9,FALSE)="TRANSFORMADORES",L16+M16*F16,IF(VLOOKUP(G16,'Costo UC'!$A$7:$I$465,9,FALSE)="EQUIPOS DE COMPENSACION",L16+N16*F16,K16*F16)),0)</f>
        <v>0</v>
      </c>
      <c r="P16" s="252">
        <f>Inversion!D12</f>
        <v>6</v>
      </c>
      <c r="Q16" s="253" t="str">
        <f>Inversion!B12</f>
        <v>N3S11</v>
      </c>
      <c r="R16" s="242" t="str">
        <f>IFERROR(VLOOKUP(Q16,'Costo UC'!$A$7:$I$465,2,FALSE),"")</f>
        <v>CELDA DE LÍNEA - SUBESTACIÓN TIPO METALCLAD</v>
      </c>
      <c r="S16" s="242">
        <f>IFERROR(VLOOKUP(Q16,'Costo UC'!$A$7:$I$465,7,FALSE),"")</f>
        <v>30</v>
      </c>
      <c r="T16" s="242">
        <f>IFERROR(VLOOKUP(Q16,'Costo UC'!$A$7:$I$465,8,FALSE),"")</f>
        <v>3</v>
      </c>
      <c r="U16" s="254">
        <f>IFERROR(VLOOKUP(Q16,'Costo UC'!$A$7:$I$465,3,FALSE),"")</f>
        <v>235694000</v>
      </c>
      <c r="V16" s="254">
        <f>IFERROR(VLOOKUP(Q16,'Costo UC'!$A$7:$I$465,4,FALSE),"")</f>
        <v>0</v>
      </c>
      <c r="W16" s="254">
        <f>IFERROR(VLOOKUP(Q16,'Costo UC'!$A$7:$I$465,5,FALSE),"")</f>
        <v>0</v>
      </c>
      <c r="X16" s="254">
        <f>IFERROR(VLOOKUP(Q16,'Costo UC'!$A$7:$I$465,6,FALSE),"")</f>
        <v>0</v>
      </c>
      <c r="Y16" s="254">
        <f>IFERROR(IF(VLOOKUP(Q16,'Costo UC'!$A$7:$I$465,9,FALSE)="TRANSFORMADORES",V16+W16*P16,IF(VLOOKUP(Q16,'Costo UC'!$A$7:$I$465,9,FALSE)="EQUIPOS DE COMPENSACION",V16+X16*P16,U16*P16)),0)</f>
        <v>1414164000</v>
      </c>
      <c r="Z16" s="254">
        <f t="shared" ref="Z16:Z24" si="2">Y16*IF(AA16="",100%,AA16)</f>
        <v>1414164000</v>
      </c>
      <c r="AA16" s="255"/>
      <c r="AB16" s="256">
        <f t="shared" si="0"/>
        <v>200611235.51282582</v>
      </c>
      <c r="AC16" s="255">
        <f t="shared" ref="AC16:AC45" si="3">IF(Q16=0,0,IF(EXACT(MID(Q16,1,2),"N4"),$C$6,$D$6))</f>
        <v>0.13900000000000001</v>
      </c>
      <c r="AD16" s="242">
        <f t="shared" ref="AD16:AD45" si="4">IF(Q16=0,0,IF(EXACT(MID(Q16,1,2),"N4"),$C$7,$D$7))</f>
        <v>1</v>
      </c>
      <c r="AE16" s="242">
        <f>IF(Inversion!Q12&lt;&gt;0,1,IF(Inversion!S12&lt;&gt;0,2,IF(Inversion!U12&lt;&gt;0,3,IF(Inversion!W12&lt;&gt;0,4,""))))</f>
        <v>1</v>
      </c>
      <c r="AF16" s="242">
        <f>IF(Inversion!W12&lt;&gt;0,4,IF(Inversion!U12&lt;&gt;0,3,IF(Inversion!S12&lt;&gt;0,2,IF(Inversion!Q12&lt;&gt;0,1,""))))</f>
        <v>2</v>
      </c>
      <c r="AG16" s="242">
        <f t="shared" ref="AG16:AG24" si="5">IF(AF16&lt;&gt;"",AF16+1,"")</f>
        <v>3</v>
      </c>
      <c r="AH16" s="242" t="str">
        <f t="shared" ref="AH16:AH24" si="6">IF(AND(O16=0,Y16=0),"NA",IF(O16&lt;&gt;0,"Reposicion","Nueva"))</f>
        <v>Nueva</v>
      </c>
      <c r="AI16" s="254">
        <f t="shared" si="1"/>
        <v>1414164000</v>
      </c>
    </row>
    <row r="17" spans="1:35" s="61" customFormat="1" ht="25.5" x14ac:dyDescent="0.2">
      <c r="A17" s="708"/>
      <c r="B17" s="708"/>
      <c r="C17" s="708"/>
      <c r="D17" s="197" t="s">
        <v>1337</v>
      </c>
      <c r="E17" s="110" t="s">
        <v>1334</v>
      </c>
      <c r="F17" s="118"/>
      <c r="G17" s="119"/>
      <c r="H17" s="117" t="str">
        <f>IFERROR(VLOOKUP(G17,'Costo UC'!$A$7:$I$465,2,FALSE),"")</f>
        <v/>
      </c>
      <c r="I17" s="117" t="str">
        <f>IFERROR(VLOOKUP(G17,'Costo UC'!$A$7:$I$465,7,FALSE),"")</f>
        <v/>
      </c>
      <c r="J17" s="117" t="str">
        <f>IFERROR(VLOOKUP(G17,'Costo UC'!$A$7:$I$465,8,FALSE),"")</f>
        <v/>
      </c>
      <c r="K17" s="120" t="str">
        <f>IFERROR(VLOOKUP(G17,'Costo UC'!$A$7:$I$465,3,FALSE),"")</f>
        <v/>
      </c>
      <c r="L17" s="120" t="str">
        <f>IFERROR(VLOOKUP(G17,'Costo UC'!$A$7:$I$465,4,FALSE),"")</f>
        <v/>
      </c>
      <c r="M17" s="120" t="str">
        <f>IFERROR(VLOOKUP(G17,'Costo UC'!$A$7:$I$465,5,FALSE),"")</f>
        <v/>
      </c>
      <c r="N17" s="120" t="str">
        <f>IFERROR(VLOOKUP(G17,'Costo UC'!$A$7:$I$465,6,FALSE),"")</f>
        <v/>
      </c>
      <c r="O17" s="121">
        <f>IFERROR(IF(VLOOKUP(G17,'Costo UC'!$A$7:$I$465,9,FALSE)="TRANSFORMADORES",L17+M17*F17,IF(VLOOKUP(G17,'Costo UC'!$A$7:$I$465,9,FALSE)="EQUIPOS DE COMPENSACION",L17+N17*F17,K17*F17)),0)</f>
        <v>0</v>
      </c>
      <c r="P17" s="252">
        <f>Inversion!D13</f>
        <v>1</v>
      </c>
      <c r="Q17" s="253" t="str">
        <f>Inversion!B13</f>
        <v>N3S26</v>
      </c>
      <c r="R17" s="242" t="str">
        <f>IFERROR(VLOOKUP(Q17,'Costo UC'!$A$7:$I$465,2,FALSE),"")</f>
        <v xml:space="preserve">MÓDULO DE BARRAJE - BARRA SENCILLA - TIPO CONVENCIONAL - TIPO 3 </v>
      </c>
      <c r="S17" s="242">
        <f>IFERROR(VLOOKUP(Q17,'Costo UC'!$A$7:$I$465,7,FALSE),"")</f>
        <v>30</v>
      </c>
      <c r="T17" s="242">
        <f>IFERROR(VLOOKUP(Q17,'Costo UC'!$A$7:$I$465,8,FALSE),"")</f>
        <v>3</v>
      </c>
      <c r="U17" s="254">
        <f>IFERROR(VLOOKUP(Q17,'Costo UC'!$A$7:$I$465,3,FALSE),"")</f>
        <v>56738000</v>
      </c>
      <c r="V17" s="254">
        <f>IFERROR(VLOOKUP(Q17,'Costo UC'!$A$7:$I$465,4,FALSE),"")</f>
        <v>0</v>
      </c>
      <c r="W17" s="254">
        <f>IFERROR(VLOOKUP(Q17,'Costo UC'!$A$7:$I$465,5,FALSE),"")</f>
        <v>0</v>
      </c>
      <c r="X17" s="254">
        <f>IFERROR(VLOOKUP(Q17,'Costo UC'!$A$7:$I$465,6,FALSE),"")</f>
        <v>0</v>
      </c>
      <c r="Y17" s="254">
        <f>IFERROR(IF(VLOOKUP(Q17,'Costo UC'!$A$7:$I$465,9,FALSE)="TRANSFORMADORES",V17+W17*P17,IF(VLOOKUP(Q17,'Costo UC'!$A$7:$I$465,9,FALSE)="EQUIPOS DE COMPENSACION",V17+X17*P17,U17*P17)),0)</f>
        <v>56738000</v>
      </c>
      <c r="Z17" s="254">
        <f t="shared" si="2"/>
        <v>56738000</v>
      </c>
      <c r="AA17" s="255"/>
      <c r="AB17" s="256">
        <f t="shared" si="0"/>
        <v>8048769.6480229395</v>
      </c>
      <c r="AC17" s="255">
        <f t="shared" si="3"/>
        <v>0.13900000000000001</v>
      </c>
      <c r="AD17" s="242">
        <f t="shared" si="4"/>
        <v>1</v>
      </c>
      <c r="AE17" s="242">
        <f>IF(Inversion!Q13&lt;&gt;0,1,IF(Inversion!S13&lt;&gt;0,2,IF(Inversion!U13&lt;&gt;0,3,IF(Inversion!W13&lt;&gt;0,4,""))))</f>
        <v>1</v>
      </c>
      <c r="AF17" s="242">
        <f>IF(Inversion!W13&lt;&gt;0,4,IF(Inversion!U13&lt;&gt;0,3,IF(Inversion!S13&lt;&gt;0,2,IF(Inversion!Q13&lt;&gt;0,1,""))))</f>
        <v>2</v>
      </c>
      <c r="AG17" s="242">
        <f t="shared" si="5"/>
        <v>3</v>
      </c>
      <c r="AH17" s="242" t="str">
        <f t="shared" si="6"/>
        <v>Nueva</v>
      </c>
      <c r="AI17" s="254">
        <f t="shared" si="1"/>
        <v>56738000</v>
      </c>
    </row>
    <row r="18" spans="1:35" s="61" customFormat="1" ht="25.5" x14ac:dyDescent="0.2">
      <c r="A18" s="708"/>
      <c r="B18" s="708"/>
      <c r="C18" s="708"/>
      <c r="D18" s="197" t="s">
        <v>1338</v>
      </c>
      <c r="E18" s="110" t="s">
        <v>1335</v>
      </c>
      <c r="F18" s="118"/>
      <c r="G18" s="119"/>
      <c r="H18" s="117" t="str">
        <f>IFERROR(VLOOKUP(G18,'Costo UC'!$A$7:$I$465,2,FALSE),"")</f>
        <v/>
      </c>
      <c r="I18" s="117" t="str">
        <f>IFERROR(VLOOKUP(G18,'Costo UC'!$A$7:$I$465,7,FALSE),"")</f>
        <v/>
      </c>
      <c r="J18" s="117" t="str">
        <f>IFERROR(VLOOKUP(G18,'Costo UC'!$A$7:$I$465,8,FALSE),"")</f>
        <v/>
      </c>
      <c r="K18" s="120" t="str">
        <f>IFERROR(VLOOKUP(G18,'Costo UC'!$A$7:$I$465,3,FALSE),"")</f>
        <v/>
      </c>
      <c r="L18" s="120" t="str">
        <f>IFERROR(VLOOKUP(G18,'Costo UC'!$A$7:$I$465,4,FALSE),"")</f>
        <v/>
      </c>
      <c r="M18" s="120" t="str">
        <f>IFERROR(VLOOKUP(G18,'Costo UC'!$A$7:$I$465,5,FALSE),"")</f>
        <v/>
      </c>
      <c r="N18" s="120" t="str">
        <f>IFERROR(VLOOKUP(G18,'Costo UC'!$A$7:$I$465,6,FALSE),"")</f>
        <v/>
      </c>
      <c r="O18" s="121">
        <f>IFERROR(IF(VLOOKUP(G18,'Costo UC'!$A$7:$I$465,9,FALSE)="TRANSFORMADORES",L18+M18*F18,IF(VLOOKUP(G18,'Costo UC'!$A$7:$I$465,9,FALSE)="EQUIPOS DE COMPENSACION",L18+N18*F18,K18*F18)),0)</f>
        <v>0</v>
      </c>
      <c r="P18" s="252">
        <f>Inversion!D14</f>
        <v>1</v>
      </c>
      <c r="Q18" s="253" t="str">
        <f>Inversion!B14</f>
        <v>N3S36</v>
      </c>
      <c r="R18" s="242" t="str">
        <f>IFERROR(VLOOKUP(Q18,'Costo UC'!$A$7:$I$465,2,FALSE),"")</f>
        <v>MÓDULO COMÚN - TIPO 3</v>
      </c>
      <c r="S18" s="242">
        <f>IFERROR(VLOOKUP(Q18,'Costo UC'!$A$7:$I$465,7,FALSE),"")</f>
        <v>30</v>
      </c>
      <c r="T18" s="242">
        <f>IFERROR(VLOOKUP(Q18,'Costo UC'!$A$7:$I$465,8,FALSE),"")</f>
        <v>3</v>
      </c>
      <c r="U18" s="254">
        <f>IFERROR(VLOOKUP(Q18,'Costo UC'!$A$7:$I$465,3,FALSE),"")</f>
        <v>479784000</v>
      </c>
      <c r="V18" s="254">
        <f>IFERROR(VLOOKUP(Q18,'Costo UC'!$A$7:$I$465,4,FALSE),"")</f>
        <v>0</v>
      </c>
      <c r="W18" s="254">
        <f>IFERROR(VLOOKUP(Q18,'Costo UC'!$A$7:$I$465,5,FALSE),"")</f>
        <v>0</v>
      </c>
      <c r="X18" s="254">
        <f>IFERROR(VLOOKUP(Q18,'Costo UC'!$A$7:$I$465,6,FALSE),"")</f>
        <v>0</v>
      </c>
      <c r="Y18" s="254">
        <f>IFERROR(IF(VLOOKUP(Q18,'Costo UC'!$A$7:$I$465,9,FALSE)="TRANSFORMADORES",V18+W18*P18,IF(VLOOKUP(Q18,'Costo UC'!$A$7:$I$465,9,FALSE)="EQUIPOS DE COMPENSACION",V18+X18*P18,U18*P18)),0)</f>
        <v>479784000</v>
      </c>
      <c r="Z18" s="254">
        <f t="shared" si="2"/>
        <v>479784000</v>
      </c>
      <c r="AA18" s="255"/>
      <c r="AB18" s="256">
        <f t="shared" si="0"/>
        <v>68061456.110667244</v>
      </c>
      <c r="AC18" s="255">
        <f t="shared" si="3"/>
        <v>0.13900000000000001</v>
      </c>
      <c r="AD18" s="242">
        <f t="shared" si="4"/>
        <v>1</v>
      </c>
      <c r="AE18" s="242">
        <f>IF(Inversion!Q14&lt;&gt;0,1,IF(Inversion!S14&lt;&gt;0,2,IF(Inversion!U14&lt;&gt;0,3,IF(Inversion!W14&lt;&gt;0,4,""))))</f>
        <v>1</v>
      </c>
      <c r="AF18" s="242">
        <f>IF(Inversion!W14&lt;&gt;0,4,IF(Inversion!U14&lt;&gt;0,3,IF(Inversion!S14&lt;&gt;0,2,IF(Inversion!Q14&lt;&gt;0,1,""))))</f>
        <v>2</v>
      </c>
      <c r="AG18" s="242">
        <f t="shared" si="5"/>
        <v>3</v>
      </c>
      <c r="AH18" s="242" t="str">
        <f t="shared" si="6"/>
        <v>Nueva</v>
      </c>
      <c r="AI18" s="254">
        <f t="shared" si="1"/>
        <v>479784000</v>
      </c>
    </row>
    <row r="19" spans="1:35" s="61" customFormat="1" x14ac:dyDescent="0.2">
      <c r="A19" s="708"/>
      <c r="B19" s="708"/>
      <c r="C19" s="708"/>
      <c r="D19" s="196">
        <v>2</v>
      </c>
      <c r="E19" s="135" t="s">
        <v>1330</v>
      </c>
      <c r="F19" s="118"/>
      <c r="G19" s="119"/>
      <c r="H19" s="117" t="str">
        <f>IFERROR(VLOOKUP(G19,'Costo UC'!$A$7:$I$465,2,FALSE),"")</f>
        <v/>
      </c>
      <c r="I19" s="117" t="str">
        <f>IFERROR(VLOOKUP(G19,'Costo UC'!$A$7:$I$465,7,FALSE),"")</f>
        <v/>
      </c>
      <c r="J19" s="117" t="str">
        <f>IFERROR(VLOOKUP(G19,'Costo UC'!$A$7:$I$465,8,FALSE),"")</f>
        <v/>
      </c>
      <c r="K19" s="120" t="str">
        <f>IFERROR(VLOOKUP(G19,'Costo UC'!$A$7:$I$465,3,FALSE),"")</f>
        <v/>
      </c>
      <c r="L19" s="120" t="str">
        <f>IFERROR(VLOOKUP(G19,'Costo UC'!$A$7:$I$465,4,FALSE),"")</f>
        <v/>
      </c>
      <c r="M19" s="120" t="str">
        <f>IFERROR(VLOOKUP(G19,'Costo UC'!$A$7:$I$465,5,FALSE),"")</f>
        <v/>
      </c>
      <c r="N19" s="120" t="str">
        <f>IFERROR(VLOOKUP(G19,'Costo UC'!$A$7:$I$465,6,FALSE),"")</f>
        <v/>
      </c>
      <c r="O19" s="121">
        <f>IFERROR(IF(VLOOKUP(G19,'Costo UC'!$A$7:$I$465,9,FALSE)="TRANSFORMADORES",L19+M19*F19,IF(VLOOKUP(G19,'Costo UC'!$A$7:$I$465,9,FALSE)="EQUIPOS DE COMPENSACION",L19+N19*F19,K19*F19)),0)</f>
        <v>0</v>
      </c>
      <c r="P19" s="252">
        <f>Inversion!D15</f>
        <v>0</v>
      </c>
      <c r="Q19" s="253">
        <f>Inversion!B15</f>
        <v>0</v>
      </c>
      <c r="R19" s="242" t="str">
        <f>IFERROR(VLOOKUP(Q19,'Costo UC'!$A$7:$I$465,2,FALSE),"")</f>
        <v/>
      </c>
      <c r="S19" s="242" t="str">
        <f>IFERROR(VLOOKUP(Q19,'Costo UC'!$A$7:$I$465,7,FALSE),"")</f>
        <v/>
      </c>
      <c r="T19" s="242" t="str">
        <f>IFERROR(VLOOKUP(Q19,'Costo UC'!$A$7:$I$465,8,FALSE),"")</f>
        <v/>
      </c>
      <c r="U19" s="254" t="str">
        <f>IFERROR(VLOOKUP(Q19,'Costo UC'!$A$7:$I$465,3,FALSE),"")</f>
        <v/>
      </c>
      <c r="V19" s="254" t="str">
        <f>IFERROR(VLOOKUP(Q19,'Costo UC'!$A$7:$I$465,4,FALSE),"")</f>
        <v/>
      </c>
      <c r="W19" s="254" t="str">
        <f>IFERROR(VLOOKUP(Q19,'Costo UC'!$A$7:$I$465,5,FALSE),"")</f>
        <v/>
      </c>
      <c r="X19" s="254" t="str">
        <f>IFERROR(VLOOKUP(Q19,'Costo UC'!$A$7:$I$465,6,FALSE),"")</f>
        <v/>
      </c>
      <c r="Y19" s="254">
        <f>IFERROR(IF(VLOOKUP(Q19,'Costo UC'!$A$7:$I$465,9,FALSE)="TRANSFORMADORES",V19+W19*P19,IF(VLOOKUP(Q19,'Costo UC'!$A$7:$I$465,9,FALSE)="EQUIPOS DE COMPENSACION",V19+X19*P19,U19*P19)),0)</f>
        <v>0</v>
      </c>
      <c r="Z19" s="254">
        <f t="shared" si="2"/>
        <v>0</v>
      </c>
      <c r="AA19" s="255"/>
      <c r="AB19" s="256" t="str">
        <f t="shared" si="0"/>
        <v/>
      </c>
      <c r="AC19" s="255">
        <f t="shared" si="3"/>
        <v>0</v>
      </c>
      <c r="AD19" s="242">
        <f t="shared" si="4"/>
        <v>0</v>
      </c>
      <c r="AE19" s="242" t="str">
        <f>IF(Inversion!Q15&lt;&gt;0,1,IF(Inversion!S15&lt;&gt;0,2,IF(Inversion!U15&lt;&gt;0,3,IF(Inversion!W15&lt;&gt;0,4,""))))</f>
        <v/>
      </c>
      <c r="AF19" s="242" t="str">
        <f>IF(Inversion!W15&lt;&gt;0,4,IF(Inversion!U15&lt;&gt;0,3,IF(Inversion!S15&lt;&gt;0,2,IF(Inversion!Q15&lt;&gt;0,1,""))))</f>
        <v/>
      </c>
      <c r="AG19" s="242" t="str">
        <f t="shared" si="5"/>
        <v/>
      </c>
      <c r="AH19" s="242" t="str">
        <f t="shared" si="6"/>
        <v>NA</v>
      </c>
      <c r="AI19" s="254">
        <f t="shared" si="1"/>
        <v>0</v>
      </c>
    </row>
    <row r="20" spans="1:35" s="61" customFormat="1" ht="25.5" x14ac:dyDescent="0.2">
      <c r="A20" s="708"/>
      <c r="B20" s="708"/>
      <c r="C20" s="708"/>
      <c r="D20" s="197" t="s">
        <v>1339</v>
      </c>
      <c r="E20" s="110" t="s">
        <v>1345</v>
      </c>
      <c r="F20" s="132"/>
      <c r="G20" s="119"/>
      <c r="H20" s="117" t="str">
        <f>IFERROR(VLOOKUP(G20,'Costo UC'!$A$7:$I$465,2,FALSE),"")</f>
        <v/>
      </c>
      <c r="I20" s="117" t="str">
        <f>IFERROR(VLOOKUP(G20,'Costo UC'!$A$7:$I$465,7,FALSE),"")</f>
        <v/>
      </c>
      <c r="J20" s="117" t="str">
        <f>IFERROR(VLOOKUP(G20,'Costo UC'!$A$7:$I$465,8,FALSE),"")</f>
        <v/>
      </c>
      <c r="K20" s="120" t="str">
        <f>IFERROR(VLOOKUP(G20,'Costo UC'!$A$7:$I$465,3,FALSE),"")</f>
        <v/>
      </c>
      <c r="L20" s="120" t="str">
        <f>IFERROR(VLOOKUP(G20,'Costo UC'!$A$7:$I$465,4,FALSE),"")</f>
        <v/>
      </c>
      <c r="M20" s="120" t="str">
        <f>IFERROR(VLOOKUP(G20,'Costo UC'!$A$7:$I$465,5,FALSE),"")</f>
        <v/>
      </c>
      <c r="N20" s="120" t="str">
        <f>IFERROR(VLOOKUP(G20,'Costo UC'!$A$7:$I$465,6,FALSE),"")</f>
        <v/>
      </c>
      <c r="O20" s="121">
        <f>IFERROR(IF(VLOOKUP(G20,'Costo UC'!$A$7:$I$465,9,FALSE)="TRANSFORMADORES",L20+M20*F20,IF(VLOOKUP(G20,'Costo UC'!$A$7:$I$465,9,FALSE)="EQUIPOS DE COMPENSACION",L20+N20*F20,K20*F20)),0)</f>
        <v>0</v>
      </c>
      <c r="P20" s="252">
        <f>Inversion!D16</f>
        <v>1</v>
      </c>
      <c r="Q20" s="253" t="str">
        <f>Inversion!B16</f>
        <v>N3L5</v>
      </c>
      <c r="R20" s="242" t="str">
        <f>IFERROR(VLOOKUP(Q20,'Costo UC'!$A$7:$I$465,2,FALSE),"")</f>
        <v>km LÍNEA RURAL - CIRCUITO SENCILLO - POSTE CONCRETO - CONDUCTOR D-N3-2</v>
      </c>
      <c r="S20" s="242">
        <f>IFERROR(VLOOKUP(Q20,'Costo UC'!$A$7:$I$465,7,FALSE),"")</f>
        <v>40</v>
      </c>
      <c r="T20" s="242">
        <f>IFERROR(VLOOKUP(Q20,'Costo UC'!$A$7:$I$465,8,FALSE),"")</f>
        <v>3</v>
      </c>
      <c r="U20" s="254">
        <f>IFERROR(VLOOKUP(Q20,'Costo UC'!$A$7:$I$465,3,FALSE),"")</f>
        <v>51500000</v>
      </c>
      <c r="V20" s="254">
        <f>IFERROR(VLOOKUP(Q20,'Costo UC'!$A$7:$I$465,4,FALSE),"")</f>
        <v>0</v>
      </c>
      <c r="W20" s="254">
        <f>IFERROR(VLOOKUP(Q20,'Costo UC'!$A$7:$I$465,5,FALSE),"")</f>
        <v>0</v>
      </c>
      <c r="X20" s="254">
        <f>IFERROR(VLOOKUP(Q20,'Costo UC'!$A$7:$I$465,6,FALSE),"")</f>
        <v>0</v>
      </c>
      <c r="Y20" s="254">
        <f>IFERROR(IF(VLOOKUP(Q20,'Costo UC'!$A$7:$I$465,9,FALSE)="TRANSFORMADORES",V20+W20*P20,IF(VLOOKUP(Q20,'Costo UC'!$A$7:$I$465,9,FALSE)="EQUIPOS DE COMPENSACION",V20+X20*P20,U20*P20)),0)</f>
        <v>51500000</v>
      </c>
      <c r="Z20" s="254">
        <f t="shared" si="2"/>
        <v>51500000</v>
      </c>
      <c r="AA20" s="255"/>
      <c r="AB20" s="256">
        <f t="shared" si="0"/>
        <v>7197969.4464618945</v>
      </c>
      <c r="AC20" s="255">
        <f t="shared" si="3"/>
        <v>0.13900000000000001</v>
      </c>
      <c r="AD20" s="242">
        <f t="shared" si="4"/>
        <v>1</v>
      </c>
      <c r="AE20" s="242">
        <f>IF(Inversion!Q16&lt;&gt;0,1,IF(Inversion!S16&lt;&gt;0,2,IF(Inversion!U16&lt;&gt;0,3,IF(Inversion!W16&lt;&gt;0,4,""))))</f>
        <v>1</v>
      </c>
      <c r="AF20" s="242">
        <f>IF(Inversion!W16&lt;&gt;0,4,IF(Inversion!U16&lt;&gt;0,3,IF(Inversion!S16&lt;&gt;0,2,IF(Inversion!Q16&lt;&gt;0,1,""))))</f>
        <v>2</v>
      </c>
      <c r="AG20" s="242">
        <f t="shared" si="5"/>
        <v>3</v>
      </c>
      <c r="AH20" s="242" t="str">
        <f t="shared" si="6"/>
        <v>Nueva</v>
      </c>
      <c r="AI20" s="254">
        <f t="shared" si="1"/>
        <v>51500000</v>
      </c>
    </row>
    <row r="21" spans="1:35" s="61" customFormat="1" ht="25.5" x14ac:dyDescent="0.2">
      <c r="A21" s="708"/>
      <c r="B21" s="708"/>
      <c r="C21" s="708"/>
      <c r="D21" s="197" t="s">
        <v>1434</v>
      </c>
      <c r="E21" s="110" t="s">
        <v>1346</v>
      </c>
      <c r="F21" s="118"/>
      <c r="G21" s="119"/>
      <c r="H21" s="117" t="str">
        <f>IFERROR(VLOOKUP(G21,'Costo UC'!$A$7:$I$465,2,FALSE),"")</f>
        <v/>
      </c>
      <c r="I21" s="117" t="str">
        <f>IFERROR(VLOOKUP(G21,'Costo UC'!$A$7:$I$465,7,FALSE),"")</f>
        <v/>
      </c>
      <c r="J21" s="117" t="str">
        <f>IFERROR(VLOOKUP(G21,'Costo UC'!$A$7:$I$465,8,FALSE),"")</f>
        <v/>
      </c>
      <c r="K21" s="120" t="str">
        <f>IFERROR(VLOOKUP(G21,'Costo UC'!$A$7:$I$465,3,FALSE),"")</f>
        <v/>
      </c>
      <c r="L21" s="120" t="str">
        <f>IFERROR(VLOOKUP(G21,'Costo UC'!$A$7:$I$465,4,FALSE),"")</f>
        <v/>
      </c>
      <c r="M21" s="120" t="str">
        <f>IFERROR(VLOOKUP(G21,'Costo UC'!$A$7:$I$465,5,FALSE),"")</f>
        <v/>
      </c>
      <c r="N21" s="120" t="str">
        <f>IFERROR(VLOOKUP(G21,'Costo UC'!$A$7:$I$465,6,FALSE),"")</f>
        <v/>
      </c>
      <c r="O21" s="121">
        <f>IFERROR(IF(VLOOKUP(G21,'Costo UC'!$A$7:$I$465,9,FALSE)="TRANSFORMADORES",L21+M21*F21,IF(VLOOKUP(G21,'Costo UC'!$A$7:$I$465,9,FALSE)="EQUIPOS DE COMPENSACION",L21+N21*F21,K21*F21)),0)</f>
        <v>0</v>
      </c>
      <c r="P21" s="252">
        <f>Inversion!D17</f>
        <v>1</v>
      </c>
      <c r="Q21" s="253" t="str">
        <f>Inversion!B17</f>
        <v>N3L5</v>
      </c>
      <c r="R21" s="242" t="str">
        <f>IFERROR(VLOOKUP(Q21,'Costo UC'!$A$7:$I$465,2,FALSE),"")</f>
        <v>km LÍNEA RURAL - CIRCUITO SENCILLO - POSTE CONCRETO - CONDUCTOR D-N3-2</v>
      </c>
      <c r="S21" s="242">
        <f>IFERROR(VLOOKUP(Q21,'Costo UC'!$A$7:$I$465,7,FALSE),"")</f>
        <v>40</v>
      </c>
      <c r="T21" s="242">
        <f>IFERROR(VLOOKUP(Q21,'Costo UC'!$A$7:$I$465,8,FALSE),"")</f>
        <v>3</v>
      </c>
      <c r="U21" s="254">
        <f>IFERROR(VLOOKUP(Q21,'Costo UC'!$A$7:$I$465,3,FALSE),"")</f>
        <v>51500000</v>
      </c>
      <c r="V21" s="254">
        <f>IFERROR(VLOOKUP(Q21,'Costo UC'!$A$7:$I$465,4,FALSE),"")</f>
        <v>0</v>
      </c>
      <c r="W21" s="254">
        <f>IFERROR(VLOOKUP(Q21,'Costo UC'!$A$7:$I$465,5,FALSE),"")</f>
        <v>0</v>
      </c>
      <c r="X21" s="254">
        <f>IFERROR(VLOOKUP(Q21,'Costo UC'!$A$7:$I$465,6,FALSE),"")</f>
        <v>0</v>
      </c>
      <c r="Y21" s="254">
        <f>IFERROR(IF(VLOOKUP(Q21,'Costo UC'!$A$7:$I$465,9,FALSE)="TRANSFORMADORES",V21+W21*P21,IF(VLOOKUP(Q21,'Costo UC'!$A$7:$I$465,9,FALSE)="EQUIPOS DE COMPENSACION",V21+X21*P21,U21*P21)),0)</f>
        <v>51500000</v>
      </c>
      <c r="Z21" s="254">
        <f t="shared" si="2"/>
        <v>51500000</v>
      </c>
      <c r="AA21" s="255"/>
      <c r="AB21" s="256">
        <f t="shared" si="0"/>
        <v>7197969.4464618945</v>
      </c>
      <c r="AC21" s="255">
        <f t="shared" si="3"/>
        <v>0.13900000000000001</v>
      </c>
      <c r="AD21" s="242">
        <f t="shared" si="4"/>
        <v>1</v>
      </c>
      <c r="AE21" s="242">
        <f>IF(Inversion!Q17&lt;&gt;0,1,IF(Inversion!S17&lt;&gt;0,2,IF(Inversion!U17&lt;&gt;0,3,IF(Inversion!W17&lt;&gt;0,4,""))))</f>
        <v>1</v>
      </c>
      <c r="AF21" s="242">
        <f>IF(Inversion!W17&lt;&gt;0,4,IF(Inversion!U17&lt;&gt;0,3,IF(Inversion!S17&lt;&gt;0,2,IF(Inversion!Q17&lt;&gt;0,1,""))))</f>
        <v>2</v>
      </c>
      <c r="AG21" s="242">
        <f t="shared" si="5"/>
        <v>3</v>
      </c>
      <c r="AH21" s="242" t="str">
        <f t="shared" si="6"/>
        <v>Nueva</v>
      </c>
      <c r="AI21" s="254">
        <f t="shared" si="1"/>
        <v>51500000</v>
      </c>
    </row>
    <row r="22" spans="1:35" s="61" customFormat="1" ht="38.25" x14ac:dyDescent="0.2">
      <c r="A22" s="708"/>
      <c r="B22" s="708"/>
      <c r="C22" s="708"/>
      <c r="D22" s="197" t="s">
        <v>1435</v>
      </c>
      <c r="E22" s="110" t="s">
        <v>1347</v>
      </c>
      <c r="F22" s="118"/>
      <c r="G22" s="119"/>
      <c r="H22" s="117" t="str">
        <f>IFERROR(VLOOKUP(G22,'Costo UC'!$A$7:$I$465,2,FALSE),"")</f>
        <v/>
      </c>
      <c r="I22" s="117" t="str">
        <f>IFERROR(VLOOKUP(G22,'Costo UC'!$A$7:$I$465,7,FALSE),"")</f>
        <v/>
      </c>
      <c r="J22" s="117" t="str">
        <f>IFERROR(VLOOKUP(G22,'Costo UC'!$A$7:$I$465,8,FALSE),"")</f>
        <v/>
      </c>
      <c r="K22" s="120" t="str">
        <f>IFERROR(VLOOKUP(G22,'Costo UC'!$A$7:$I$465,3,FALSE),"")</f>
        <v/>
      </c>
      <c r="L22" s="120" t="str">
        <f>IFERROR(VLOOKUP(G22,'Costo UC'!$A$7:$I$465,4,FALSE),"")</f>
        <v/>
      </c>
      <c r="M22" s="120" t="str">
        <f>IFERROR(VLOOKUP(G22,'Costo UC'!$A$7:$I$465,5,FALSE),"")</f>
        <v/>
      </c>
      <c r="N22" s="120" t="str">
        <f>IFERROR(VLOOKUP(G22,'Costo UC'!$A$7:$I$465,6,FALSE),"")</f>
        <v/>
      </c>
      <c r="O22" s="121">
        <f>IFERROR(IF(VLOOKUP(G22,'Costo UC'!$A$7:$I$465,9,FALSE)="TRANSFORMADORES",L22+M22*F22,IF(VLOOKUP(G22,'Costo UC'!$A$7:$I$465,9,FALSE)="EQUIPOS DE COMPENSACION",L22+N22*F22,K22*F22)),0)</f>
        <v>0</v>
      </c>
      <c r="P22" s="252">
        <f>Inversion!D18</f>
        <v>1</v>
      </c>
      <c r="Q22" s="253" t="str">
        <f>Inversion!B18</f>
        <v>N3L5</v>
      </c>
      <c r="R22" s="242" t="str">
        <f>IFERROR(VLOOKUP(Q22,'Costo UC'!$A$7:$I$465,2,FALSE),"")</f>
        <v>km LÍNEA RURAL - CIRCUITO SENCILLO - POSTE CONCRETO - CONDUCTOR D-N3-2</v>
      </c>
      <c r="S22" s="242">
        <f>IFERROR(VLOOKUP(Q22,'Costo UC'!$A$7:$I$465,7,FALSE),"")</f>
        <v>40</v>
      </c>
      <c r="T22" s="242">
        <f>IFERROR(VLOOKUP(Q22,'Costo UC'!$A$7:$I$465,8,FALSE),"")</f>
        <v>3</v>
      </c>
      <c r="U22" s="254">
        <f>IFERROR(VLOOKUP(Q22,'Costo UC'!$A$7:$I$465,3,FALSE),"")</f>
        <v>51500000</v>
      </c>
      <c r="V22" s="254">
        <f>IFERROR(VLOOKUP(Q22,'Costo UC'!$A$7:$I$465,4,FALSE),"")</f>
        <v>0</v>
      </c>
      <c r="W22" s="254">
        <f>IFERROR(VLOOKUP(Q22,'Costo UC'!$A$7:$I$465,5,FALSE),"")</f>
        <v>0</v>
      </c>
      <c r="X22" s="254">
        <f>IFERROR(VLOOKUP(Q22,'Costo UC'!$A$7:$I$465,6,FALSE),"")</f>
        <v>0</v>
      </c>
      <c r="Y22" s="254">
        <f>IFERROR(IF(VLOOKUP(Q22,'Costo UC'!$A$7:$I$465,9,FALSE)="TRANSFORMADORES",V22+W22*P22,IF(VLOOKUP(Q22,'Costo UC'!$A$7:$I$465,9,FALSE)="EQUIPOS DE COMPENSACION",V22+X22*P22,U22*P22)),0)</f>
        <v>51500000</v>
      </c>
      <c r="Z22" s="254">
        <f t="shared" si="2"/>
        <v>51500000</v>
      </c>
      <c r="AA22" s="255"/>
      <c r="AB22" s="256">
        <f t="shared" si="0"/>
        <v>7197969.4464618945</v>
      </c>
      <c r="AC22" s="255">
        <f t="shared" si="3"/>
        <v>0.13900000000000001</v>
      </c>
      <c r="AD22" s="242">
        <f t="shared" si="4"/>
        <v>1</v>
      </c>
      <c r="AE22" s="242">
        <f>IF(Inversion!Q18&lt;&gt;0,1,IF(Inversion!S18&lt;&gt;0,2,IF(Inversion!U18&lt;&gt;0,3,IF(Inversion!W18&lt;&gt;0,4,""))))</f>
        <v>1</v>
      </c>
      <c r="AF22" s="242">
        <f>IF(Inversion!W18&lt;&gt;0,4,IF(Inversion!U18&lt;&gt;0,3,IF(Inversion!S18&lt;&gt;0,2,IF(Inversion!Q18&lt;&gt;0,1,""))))</f>
        <v>2</v>
      </c>
      <c r="AG22" s="242">
        <f t="shared" si="5"/>
        <v>3</v>
      </c>
      <c r="AH22" s="242" t="str">
        <f t="shared" si="6"/>
        <v>Nueva</v>
      </c>
      <c r="AI22" s="254">
        <f t="shared" si="1"/>
        <v>51500000</v>
      </c>
    </row>
    <row r="23" spans="1:35" s="61" customFormat="1" ht="38.25" x14ac:dyDescent="0.2">
      <c r="A23" s="708"/>
      <c r="B23" s="708"/>
      <c r="C23" s="708"/>
      <c r="D23" s="197" t="s">
        <v>1436</v>
      </c>
      <c r="E23" s="110" t="s">
        <v>1348</v>
      </c>
      <c r="F23" s="118"/>
      <c r="G23" s="119"/>
      <c r="H23" s="117" t="str">
        <f>IFERROR(VLOOKUP(G23,'Costo UC'!$A$7:$I$465,2,FALSE),"")</f>
        <v/>
      </c>
      <c r="I23" s="117" t="str">
        <f>IFERROR(VLOOKUP(G23,'Costo UC'!$A$7:$I$465,7,FALSE),"")</f>
        <v/>
      </c>
      <c r="J23" s="117" t="str">
        <f>IFERROR(VLOOKUP(G23,'Costo UC'!$A$7:$I$465,8,FALSE),"")</f>
        <v/>
      </c>
      <c r="K23" s="120" t="str">
        <f>IFERROR(VLOOKUP(G23,'Costo UC'!$A$7:$I$465,3,FALSE),"")</f>
        <v/>
      </c>
      <c r="L23" s="120" t="str">
        <f>IFERROR(VLOOKUP(G23,'Costo UC'!$A$7:$I$465,4,FALSE),"")</f>
        <v/>
      </c>
      <c r="M23" s="120" t="str">
        <f>IFERROR(VLOOKUP(G23,'Costo UC'!$A$7:$I$465,5,FALSE),"")</f>
        <v/>
      </c>
      <c r="N23" s="120" t="str">
        <f>IFERROR(VLOOKUP(G23,'Costo UC'!$A$7:$I$465,6,FALSE),"")</f>
        <v/>
      </c>
      <c r="O23" s="121">
        <f>IFERROR(IF(VLOOKUP(G23,'Costo UC'!$A$7:$I$465,9,FALSE)="TRANSFORMADORES",L23+M23*F23,IF(VLOOKUP(G23,'Costo UC'!$A$7:$I$465,9,FALSE)="EQUIPOS DE COMPENSACION",L23+N23*F23,K23*F23)),0)</f>
        <v>0</v>
      </c>
      <c r="P23" s="252">
        <f>Inversion!D19</f>
        <v>1</v>
      </c>
      <c r="Q23" s="253" t="str">
        <f>Inversion!B19</f>
        <v>N3L5</v>
      </c>
      <c r="R23" s="242" t="str">
        <f>IFERROR(VLOOKUP(Q23,'Costo UC'!$A$7:$I$465,2,FALSE),"")</f>
        <v>km LÍNEA RURAL - CIRCUITO SENCILLO - POSTE CONCRETO - CONDUCTOR D-N3-2</v>
      </c>
      <c r="S23" s="242">
        <f>IFERROR(VLOOKUP(Q23,'Costo UC'!$A$7:$I$465,7,FALSE),"")</f>
        <v>40</v>
      </c>
      <c r="T23" s="242">
        <f>IFERROR(VLOOKUP(Q23,'Costo UC'!$A$7:$I$465,8,FALSE),"")</f>
        <v>3</v>
      </c>
      <c r="U23" s="254">
        <f>IFERROR(VLOOKUP(Q23,'Costo UC'!$A$7:$I$465,3,FALSE),"")</f>
        <v>51500000</v>
      </c>
      <c r="V23" s="254">
        <f>IFERROR(VLOOKUP(Q23,'Costo UC'!$A$7:$I$465,4,FALSE),"")</f>
        <v>0</v>
      </c>
      <c r="W23" s="254">
        <f>IFERROR(VLOOKUP(Q23,'Costo UC'!$A$7:$I$465,5,FALSE),"")</f>
        <v>0</v>
      </c>
      <c r="X23" s="254">
        <f>IFERROR(VLOOKUP(Q23,'Costo UC'!$A$7:$I$465,6,FALSE),"")</f>
        <v>0</v>
      </c>
      <c r="Y23" s="254">
        <f>IFERROR(IF(VLOOKUP(Q23,'Costo UC'!$A$7:$I$465,9,FALSE)="TRANSFORMADORES",V23+W23*P23,IF(VLOOKUP(Q23,'Costo UC'!$A$7:$I$465,9,FALSE)="EQUIPOS DE COMPENSACION",V23+X23*P23,U23*P23)),0)</f>
        <v>51500000</v>
      </c>
      <c r="Z23" s="254">
        <f t="shared" si="2"/>
        <v>51500000</v>
      </c>
      <c r="AA23" s="255"/>
      <c r="AB23" s="256">
        <f t="shared" si="0"/>
        <v>7197969.4464618945</v>
      </c>
      <c r="AC23" s="255">
        <f t="shared" si="3"/>
        <v>0.13900000000000001</v>
      </c>
      <c r="AD23" s="242">
        <f t="shared" si="4"/>
        <v>1</v>
      </c>
      <c r="AE23" s="242">
        <f>IF(Inversion!Q19&lt;&gt;0,1,IF(Inversion!S19&lt;&gt;0,2,IF(Inversion!U19&lt;&gt;0,3,IF(Inversion!W19&lt;&gt;0,4,""))))</f>
        <v>1</v>
      </c>
      <c r="AF23" s="242">
        <f>IF(Inversion!W19&lt;&gt;0,4,IF(Inversion!U19&lt;&gt;0,3,IF(Inversion!S19&lt;&gt;0,2,IF(Inversion!Q19&lt;&gt;0,1,""))))</f>
        <v>2</v>
      </c>
      <c r="AG23" s="242">
        <f t="shared" si="5"/>
        <v>3</v>
      </c>
      <c r="AH23" s="242" t="str">
        <f t="shared" si="6"/>
        <v>Nueva</v>
      </c>
      <c r="AI23" s="254">
        <f t="shared" si="1"/>
        <v>51500000</v>
      </c>
    </row>
    <row r="24" spans="1:35" s="61" customFormat="1" ht="38.25" x14ac:dyDescent="0.2">
      <c r="A24" s="708"/>
      <c r="B24" s="708"/>
      <c r="C24" s="708"/>
      <c r="D24" s="197" t="s">
        <v>1437</v>
      </c>
      <c r="E24" s="110" t="s">
        <v>1427</v>
      </c>
      <c r="F24" s="118"/>
      <c r="G24" s="119"/>
      <c r="H24" s="117" t="str">
        <f>IFERROR(VLOOKUP(G24,'Costo UC'!$A$7:$I$465,2,FALSE),"")</f>
        <v/>
      </c>
      <c r="I24" s="117" t="str">
        <f>IFERROR(VLOOKUP(G24,'Costo UC'!$A$7:$I$465,7,FALSE),"")</f>
        <v/>
      </c>
      <c r="J24" s="117" t="str">
        <f>IFERROR(VLOOKUP(G24,'Costo UC'!$A$7:$I$465,8,FALSE),"")</f>
        <v/>
      </c>
      <c r="K24" s="120" t="str">
        <f>IFERROR(VLOOKUP(G24,'Costo UC'!$A$7:$I$465,3,FALSE),"")</f>
        <v/>
      </c>
      <c r="L24" s="120" t="str">
        <f>IFERROR(VLOOKUP(G24,'Costo UC'!$A$7:$I$465,4,FALSE),"")</f>
        <v/>
      </c>
      <c r="M24" s="120" t="str">
        <f>IFERROR(VLOOKUP(G24,'Costo UC'!$A$7:$I$465,5,FALSE),"")</f>
        <v/>
      </c>
      <c r="N24" s="120" t="str">
        <f>IFERROR(VLOOKUP(G24,'Costo UC'!$A$7:$I$465,6,FALSE),"")</f>
        <v/>
      </c>
      <c r="O24" s="121">
        <f>IFERROR(IF(VLOOKUP(G24,'Costo UC'!$A$7:$I$465,9,FALSE)="TRANSFORMADORES",L24+M24*F24,IF(VLOOKUP(G24,'Costo UC'!$A$7:$I$465,9,FALSE)="EQUIPOS DE COMPENSACION",L24+N24*F24,K24*F24)),0)</f>
        <v>0</v>
      </c>
      <c r="P24" s="252">
        <f>Inversion!D20</f>
        <v>18</v>
      </c>
      <c r="Q24" s="253" t="str">
        <f>Inversion!B20</f>
        <v>N3L5</v>
      </c>
      <c r="R24" s="242" t="str">
        <f>IFERROR(VLOOKUP(Q24,'Costo UC'!$A$7:$I$465,2,FALSE),"")</f>
        <v>km LÍNEA RURAL - CIRCUITO SENCILLO - POSTE CONCRETO - CONDUCTOR D-N3-2</v>
      </c>
      <c r="S24" s="242">
        <f>IFERROR(VLOOKUP(Q24,'Costo UC'!$A$7:$I$465,7,FALSE),"")</f>
        <v>40</v>
      </c>
      <c r="T24" s="242">
        <f>IFERROR(VLOOKUP(Q24,'Costo UC'!$A$7:$I$465,8,FALSE),"")</f>
        <v>3</v>
      </c>
      <c r="U24" s="254">
        <f>IFERROR(VLOOKUP(Q24,'Costo UC'!$A$7:$I$465,3,FALSE),"")</f>
        <v>51500000</v>
      </c>
      <c r="V24" s="254">
        <f>IFERROR(VLOOKUP(Q24,'Costo UC'!$A$7:$I$465,4,FALSE),"")</f>
        <v>0</v>
      </c>
      <c r="W24" s="254">
        <f>IFERROR(VLOOKUP(Q24,'Costo UC'!$A$7:$I$465,5,FALSE),"")</f>
        <v>0</v>
      </c>
      <c r="X24" s="254">
        <f>IFERROR(VLOOKUP(Q24,'Costo UC'!$A$7:$I$465,6,FALSE),"")</f>
        <v>0</v>
      </c>
      <c r="Y24" s="254">
        <f>IFERROR(IF(VLOOKUP(Q24,'Costo UC'!$A$7:$I$465,9,FALSE)="TRANSFORMADORES",V24+W24*P24,IF(VLOOKUP(Q24,'Costo UC'!$A$7:$I$465,9,FALSE)="EQUIPOS DE COMPENSACION",V24+X24*P24,U24*P24)),0)</f>
        <v>927000000</v>
      </c>
      <c r="Z24" s="254">
        <f t="shared" si="2"/>
        <v>927000000</v>
      </c>
      <c r="AA24" s="255"/>
      <c r="AB24" s="256">
        <f t="shared" si="0"/>
        <v>129563450.0363141</v>
      </c>
      <c r="AC24" s="255">
        <f t="shared" si="3"/>
        <v>0.13900000000000001</v>
      </c>
      <c r="AD24" s="242">
        <f t="shared" si="4"/>
        <v>1</v>
      </c>
      <c r="AE24" s="242">
        <f>IF(Inversion!Q20&lt;&gt;0,1,IF(Inversion!S20&lt;&gt;0,2,IF(Inversion!U20&lt;&gt;0,3,IF(Inversion!W20&lt;&gt;0,4,""))))</f>
        <v>1</v>
      </c>
      <c r="AF24" s="242">
        <f>IF(Inversion!W20&lt;&gt;0,4,IF(Inversion!U20&lt;&gt;0,3,IF(Inversion!S20&lt;&gt;0,2,IF(Inversion!Q20&lt;&gt;0,1,""))))</f>
        <v>2</v>
      </c>
      <c r="AG24" s="242">
        <f t="shared" si="5"/>
        <v>3</v>
      </c>
      <c r="AH24" s="242" t="str">
        <f t="shared" si="6"/>
        <v>Nueva</v>
      </c>
      <c r="AI24" s="254">
        <f t="shared" si="1"/>
        <v>927000000</v>
      </c>
    </row>
    <row r="25" spans="1:35" s="61" customFormat="1" ht="25.5" x14ac:dyDescent="0.2">
      <c r="A25" s="708"/>
      <c r="B25" s="708"/>
      <c r="C25" s="708"/>
      <c r="D25" s="197" t="s">
        <v>1438</v>
      </c>
      <c r="E25" s="110" t="s">
        <v>1349</v>
      </c>
      <c r="F25" s="118"/>
      <c r="G25" s="119"/>
      <c r="H25" s="117" t="str">
        <f>IFERROR(VLOOKUP(G25,'Costo UC'!$A$7:$I$465,2,FALSE),"")</f>
        <v/>
      </c>
      <c r="I25" s="117" t="str">
        <f>IFERROR(VLOOKUP(G25,'Costo UC'!$A$7:$I$465,7,FALSE),"")</f>
        <v/>
      </c>
      <c r="J25" s="117" t="str">
        <f>IFERROR(VLOOKUP(G25,'Costo UC'!$A$7:$I$465,8,FALSE),"")</f>
        <v/>
      </c>
      <c r="K25" s="120" t="str">
        <f>IFERROR(VLOOKUP(G25,'Costo UC'!$A$7:$I$465,3,FALSE),"")</f>
        <v/>
      </c>
      <c r="L25" s="120" t="str">
        <f>IFERROR(VLOOKUP(G25,'Costo UC'!$A$7:$I$465,4,FALSE),"")</f>
        <v/>
      </c>
      <c r="M25" s="120" t="str">
        <f>IFERROR(VLOOKUP(G25,'Costo UC'!$A$7:$I$465,5,FALSE),"")</f>
        <v/>
      </c>
      <c r="N25" s="120" t="str">
        <f>IFERROR(VLOOKUP(G25,'Costo UC'!$A$7:$I$465,6,FALSE),"")</f>
        <v/>
      </c>
      <c r="O25" s="121">
        <f>IFERROR(IF(VLOOKUP(G25,'Costo UC'!$A$7:$I$465,9,FALSE)="TRANSFORMADORES",L25+M25*F25,IF(VLOOKUP(G25,'Costo UC'!$A$7:$I$465,9,FALSE)="EQUIPOS DE COMPENSACION",L25+N25*F25,K25*F25)),0)</f>
        <v>0</v>
      </c>
      <c r="P25" s="252">
        <f>Inversion!D21</f>
        <v>0.5</v>
      </c>
      <c r="Q25" s="253" t="str">
        <f>Inversion!B21</f>
        <v>N3L5</v>
      </c>
      <c r="R25" s="242" t="str">
        <f>IFERROR(VLOOKUP(Q25,'Costo UC'!$A$7:$I$465,2,FALSE),"")</f>
        <v>km LÍNEA RURAL - CIRCUITO SENCILLO - POSTE CONCRETO - CONDUCTOR D-N3-2</v>
      </c>
      <c r="S25" s="242">
        <f>IFERROR(VLOOKUP(Q25,'Costo UC'!$A$7:$I$465,7,FALSE),"")</f>
        <v>40</v>
      </c>
      <c r="T25" s="242">
        <f>IFERROR(VLOOKUP(Q25,'Costo UC'!$A$7:$I$465,8,FALSE),"")</f>
        <v>3</v>
      </c>
      <c r="U25" s="254">
        <f>IFERROR(VLOOKUP(Q25,'Costo UC'!$A$7:$I$465,3,FALSE),"")</f>
        <v>51500000</v>
      </c>
      <c r="V25" s="254">
        <f>IFERROR(VLOOKUP(Q25,'Costo UC'!$A$7:$I$465,4,FALSE),"")</f>
        <v>0</v>
      </c>
      <c r="W25" s="254">
        <f>IFERROR(VLOOKUP(Q25,'Costo UC'!$A$7:$I$465,5,FALSE),"")</f>
        <v>0</v>
      </c>
      <c r="X25" s="254">
        <f>IFERROR(VLOOKUP(Q25,'Costo UC'!$A$7:$I$465,6,FALSE),"")</f>
        <v>0</v>
      </c>
      <c r="Y25" s="254">
        <f>IFERROR(IF(VLOOKUP(Q25,'Costo UC'!$A$7:$I$465,9,FALSE)="TRANSFORMADORES",V25+W25*P25,IF(VLOOKUP(Q25,'Costo UC'!$A$7:$I$465,9,FALSE)="EQUIPOS DE COMPENSACION",V25+X25*P25,U25*P25)),0)</f>
        <v>25750000</v>
      </c>
      <c r="Z25" s="254">
        <f t="shared" ref="Z25:Z45" si="7">Y25*IF(AA25="",100%,AA25)</f>
        <v>25750000</v>
      </c>
      <c r="AA25" s="255"/>
      <c r="AB25" s="256">
        <f t="shared" ref="AB25:AB45" si="8">IFERROR(-PMT(AC25,S25,Y25-O25),"")</f>
        <v>3598984.7232309473</v>
      </c>
      <c r="AC25" s="255">
        <f t="shared" si="3"/>
        <v>0.13900000000000001</v>
      </c>
      <c r="AD25" s="242">
        <f t="shared" si="4"/>
        <v>1</v>
      </c>
      <c r="AE25" s="242">
        <f>IF(Inversion!Q21&lt;&gt;0,1,IF(Inversion!S21&lt;&gt;0,2,IF(Inversion!U21&lt;&gt;0,3,IF(Inversion!W21&lt;&gt;0,4,""))))</f>
        <v>1</v>
      </c>
      <c r="AF25" s="242">
        <f>IF(Inversion!W21&lt;&gt;0,4,IF(Inversion!U21&lt;&gt;0,3,IF(Inversion!S21&lt;&gt;0,2,IF(Inversion!Q21&lt;&gt;0,1,""))))</f>
        <v>2</v>
      </c>
      <c r="AG25" s="242">
        <f t="shared" ref="AG25:AG45" si="9">IF(AF25&lt;&gt;"",AF25+1,"")</f>
        <v>3</v>
      </c>
      <c r="AH25" s="242" t="str">
        <f t="shared" ref="AH25:AH45" si="10">IF(AND(O25=0,Y25=0),"NA",IF(O25&lt;&gt;0,"Reposicion","Nueva"))</f>
        <v>Nueva</v>
      </c>
      <c r="AI25" s="254">
        <f t="shared" ref="AI25:AI45" si="11">IF(AH25="",0,IF(AH25="Nueva",Z25,0))</f>
        <v>25750000</v>
      </c>
    </row>
    <row r="26" spans="1:35" s="61" customFormat="1" ht="38.25" x14ac:dyDescent="0.2">
      <c r="A26" s="708"/>
      <c r="B26" s="708"/>
      <c r="C26" s="708"/>
      <c r="D26" s="197" t="s">
        <v>1439</v>
      </c>
      <c r="E26" s="110" t="s">
        <v>1428</v>
      </c>
      <c r="F26" s="118"/>
      <c r="G26" s="119"/>
      <c r="H26" s="117" t="str">
        <f>IFERROR(VLOOKUP(G26,'Costo UC'!$A$7:$I$465,2,FALSE),"")</f>
        <v/>
      </c>
      <c r="I26" s="117" t="str">
        <f>IFERROR(VLOOKUP(G26,'Costo UC'!$A$7:$I$465,7,FALSE),"")</f>
        <v/>
      </c>
      <c r="J26" s="117" t="str">
        <f>IFERROR(VLOOKUP(G26,'Costo UC'!$A$7:$I$465,8,FALSE),"")</f>
        <v/>
      </c>
      <c r="K26" s="120" t="str">
        <f>IFERROR(VLOOKUP(G26,'Costo UC'!$A$7:$I$465,3,FALSE),"")</f>
        <v/>
      </c>
      <c r="L26" s="120" t="str">
        <f>IFERROR(VLOOKUP(G26,'Costo UC'!$A$7:$I$465,4,FALSE),"")</f>
        <v/>
      </c>
      <c r="M26" s="120" t="str">
        <f>IFERROR(VLOOKUP(G26,'Costo UC'!$A$7:$I$465,5,FALSE),"")</f>
        <v/>
      </c>
      <c r="N26" s="120" t="str">
        <f>IFERROR(VLOOKUP(G26,'Costo UC'!$A$7:$I$465,6,FALSE),"")</f>
        <v/>
      </c>
      <c r="O26" s="121">
        <f>IFERROR(IF(VLOOKUP(G26,'Costo UC'!$A$7:$I$465,9,FALSE)="TRANSFORMADORES",L26+M26*F26,IF(VLOOKUP(G26,'Costo UC'!$A$7:$I$465,9,FALSE)="EQUIPOS DE COMPENSACION",L26+N26*F26,K26*F26)),0)</f>
        <v>0</v>
      </c>
      <c r="P26" s="252">
        <f>Inversion!D22</f>
        <v>30</v>
      </c>
      <c r="Q26" s="253" t="str">
        <f>Inversion!B22</f>
        <v>N3L5</v>
      </c>
      <c r="R26" s="242" t="str">
        <f>IFERROR(VLOOKUP(Q26,'Costo UC'!$A$7:$I$465,2,FALSE),"")</f>
        <v>km LÍNEA RURAL - CIRCUITO SENCILLO - POSTE CONCRETO - CONDUCTOR D-N3-2</v>
      </c>
      <c r="S26" s="242">
        <f>IFERROR(VLOOKUP(Q26,'Costo UC'!$A$7:$I$465,7,FALSE),"")</f>
        <v>40</v>
      </c>
      <c r="T26" s="242">
        <f>IFERROR(VLOOKUP(Q26,'Costo UC'!$A$7:$I$465,8,FALSE),"")</f>
        <v>3</v>
      </c>
      <c r="U26" s="254">
        <f>IFERROR(VLOOKUP(Q26,'Costo UC'!$A$7:$I$465,3,FALSE),"")</f>
        <v>51500000</v>
      </c>
      <c r="V26" s="254">
        <f>IFERROR(VLOOKUP(Q26,'Costo UC'!$A$7:$I$465,4,FALSE),"")</f>
        <v>0</v>
      </c>
      <c r="W26" s="254">
        <f>IFERROR(VLOOKUP(Q26,'Costo UC'!$A$7:$I$465,5,FALSE),"")</f>
        <v>0</v>
      </c>
      <c r="X26" s="254">
        <f>IFERROR(VLOOKUP(Q26,'Costo UC'!$A$7:$I$465,6,FALSE),"")</f>
        <v>0</v>
      </c>
      <c r="Y26" s="254">
        <f>IFERROR(IF(VLOOKUP(Q26,'Costo UC'!$A$7:$I$465,9,FALSE)="TRANSFORMADORES",V26+W26*P26,IF(VLOOKUP(Q26,'Costo UC'!$A$7:$I$465,9,FALSE)="EQUIPOS DE COMPENSACION",V26+X26*P26,U26*P26)),0)</f>
        <v>1545000000</v>
      </c>
      <c r="Z26" s="254">
        <f t="shared" si="7"/>
        <v>1545000000</v>
      </c>
      <c r="AA26" s="255"/>
      <c r="AB26" s="256">
        <f t="shared" si="8"/>
        <v>215939083.39385682</v>
      </c>
      <c r="AC26" s="255">
        <f t="shared" si="3"/>
        <v>0.13900000000000001</v>
      </c>
      <c r="AD26" s="242">
        <f t="shared" si="4"/>
        <v>1</v>
      </c>
      <c r="AE26" s="242">
        <f>IF(Inversion!Q22&lt;&gt;0,1,IF(Inversion!S22&lt;&gt;0,2,IF(Inversion!U22&lt;&gt;0,3,IF(Inversion!W22&lt;&gt;0,4,""))))</f>
        <v>1</v>
      </c>
      <c r="AF26" s="242">
        <f>IF(Inversion!W22&lt;&gt;0,4,IF(Inversion!U22&lt;&gt;0,3,IF(Inversion!S22&lt;&gt;0,2,IF(Inversion!Q22&lt;&gt;0,1,""))))</f>
        <v>2</v>
      </c>
      <c r="AG26" s="242">
        <f t="shared" si="9"/>
        <v>3</v>
      </c>
      <c r="AH26" s="242" t="str">
        <f t="shared" si="10"/>
        <v>Nueva</v>
      </c>
      <c r="AI26" s="254">
        <f t="shared" si="11"/>
        <v>1545000000</v>
      </c>
    </row>
    <row r="27" spans="1:35" s="61" customFormat="1" ht="25.5" x14ac:dyDescent="0.2">
      <c r="A27" s="708"/>
      <c r="B27" s="708"/>
      <c r="C27" s="708"/>
      <c r="D27" s="197" t="s">
        <v>1440</v>
      </c>
      <c r="E27" s="110" t="s">
        <v>1429</v>
      </c>
      <c r="F27" s="118"/>
      <c r="G27" s="119"/>
      <c r="H27" s="117" t="str">
        <f>IFERROR(VLOOKUP(G27,'Costo UC'!$A$7:$I$465,2,FALSE),"")</f>
        <v/>
      </c>
      <c r="I27" s="117" t="str">
        <f>IFERROR(VLOOKUP(G27,'Costo UC'!$A$7:$I$465,7,FALSE),"")</f>
        <v/>
      </c>
      <c r="J27" s="117" t="str">
        <f>IFERROR(VLOOKUP(G27,'Costo UC'!$A$7:$I$465,8,FALSE),"")</f>
        <v/>
      </c>
      <c r="K27" s="120" t="str">
        <f>IFERROR(VLOOKUP(G27,'Costo UC'!$A$7:$I$465,3,FALSE),"")</f>
        <v/>
      </c>
      <c r="L27" s="120" t="str">
        <f>IFERROR(VLOOKUP(G27,'Costo UC'!$A$7:$I$465,4,FALSE),"")</f>
        <v/>
      </c>
      <c r="M27" s="120" t="str">
        <f>IFERROR(VLOOKUP(G27,'Costo UC'!$A$7:$I$465,5,FALSE),"")</f>
        <v/>
      </c>
      <c r="N27" s="120" t="str">
        <f>IFERROR(VLOOKUP(G27,'Costo UC'!$A$7:$I$465,6,FALSE),"")</f>
        <v/>
      </c>
      <c r="O27" s="121">
        <f>IFERROR(IF(VLOOKUP(G27,'Costo UC'!$A$7:$I$465,9,FALSE)="TRANSFORMADORES",L27+M27*F27,IF(VLOOKUP(G27,'Costo UC'!$A$7:$I$465,9,FALSE)="EQUIPOS DE COMPENSACION",L27+N27*F27,K27*F27)),0)</f>
        <v>0</v>
      </c>
      <c r="P27" s="252">
        <f>Inversion!D23</f>
        <v>7</v>
      </c>
      <c r="Q27" s="253" t="str">
        <f>Inversion!B23</f>
        <v>N3L5</v>
      </c>
      <c r="R27" s="242" t="str">
        <f>IFERROR(VLOOKUP(Q27,'Costo UC'!$A$7:$I$465,2,FALSE),"")</f>
        <v>km LÍNEA RURAL - CIRCUITO SENCILLO - POSTE CONCRETO - CONDUCTOR D-N3-2</v>
      </c>
      <c r="S27" s="242">
        <f>IFERROR(VLOOKUP(Q27,'Costo UC'!$A$7:$I$465,7,FALSE),"")</f>
        <v>40</v>
      </c>
      <c r="T27" s="242">
        <f>IFERROR(VLOOKUP(Q27,'Costo UC'!$A$7:$I$465,8,FALSE),"")</f>
        <v>3</v>
      </c>
      <c r="U27" s="254">
        <f>IFERROR(VLOOKUP(Q27,'Costo UC'!$A$7:$I$465,3,FALSE),"")</f>
        <v>51500000</v>
      </c>
      <c r="V27" s="254">
        <f>IFERROR(VLOOKUP(Q27,'Costo UC'!$A$7:$I$465,4,FALSE),"")</f>
        <v>0</v>
      </c>
      <c r="W27" s="254">
        <f>IFERROR(VLOOKUP(Q27,'Costo UC'!$A$7:$I$465,5,FALSE),"")</f>
        <v>0</v>
      </c>
      <c r="X27" s="254">
        <f>IFERROR(VLOOKUP(Q27,'Costo UC'!$A$7:$I$465,6,FALSE),"")</f>
        <v>0</v>
      </c>
      <c r="Y27" s="254">
        <f>IFERROR(IF(VLOOKUP(Q27,'Costo UC'!$A$7:$I$465,9,FALSE)="TRANSFORMADORES",V27+W27*P27,IF(VLOOKUP(Q27,'Costo UC'!$A$7:$I$465,9,FALSE)="EQUIPOS DE COMPENSACION",V27+X27*P27,U27*P27)),0)</f>
        <v>360500000</v>
      </c>
      <c r="Z27" s="254">
        <f t="shared" si="7"/>
        <v>360500000</v>
      </c>
      <c r="AA27" s="255"/>
      <c r="AB27" s="256">
        <f t="shared" si="8"/>
        <v>50385786.125233263</v>
      </c>
      <c r="AC27" s="255">
        <f t="shared" si="3"/>
        <v>0.13900000000000001</v>
      </c>
      <c r="AD27" s="242">
        <f t="shared" si="4"/>
        <v>1</v>
      </c>
      <c r="AE27" s="242">
        <f>IF(Inversion!Q23&lt;&gt;0,1,IF(Inversion!S23&lt;&gt;0,2,IF(Inversion!U23&lt;&gt;0,3,IF(Inversion!W23&lt;&gt;0,4,""))))</f>
        <v>1</v>
      </c>
      <c r="AF27" s="242">
        <f>IF(Inversion!W23&lt;&gt;0,4,IF(Inversion!U23&lt;&gt;0,3,IF(Inversion!S23&lt;&gt;0,2,IF(Inversion!Q23&lt;&gt;0,1,""))))</f>
        <v>2</v>
      </c>
      <c r="AG27" s="242">
        <f t="shared" si="9"/>
        <v>3</v>
      </c>
      <c r="AH27" s="242" t="str">
        <f t="shared" si="10"/>
        <v>Nueva</v>
      </c>
      <c r="AI27" s="254">
        <f t="shared" si="11"/>
        <v>360500000</v>
      </c>
    </row>
    <row r="28" spans="1:35" s="61" customFormat="1" x14ac:dyDescent="0.2">
      <c r="A28" s="708"/>
      <c r="B28" s="708"/>
      <c r="C28" s="708"/>
      <c r="D28" s="196">
        <v>3</v>
      </c>
      <c r="E28" s="135" t="s">
        <v>1331</v>
      </c>
      <c r="F28" s="118"/>
      <c r="G28" s="119"/>
      <c r="H28" s="117" t="str">
        <f>IFERROR(VLOOKUP(G28,'Costo UC'!$A$7:$I$465,2,FALSE),"")</f>
        <v/>
      </c>
      <c r="I28" s="117" t="str">
        <f>IFERROR(VLOOKUP(G28,'Costo UC'!$A$7:$I$465,7,FALSE),"")</f>
        <v/>
      </c>
      <c r="J28" s="117" t="str">
        <f>IFERROR(VLOOKUP(G28,'Costo UC'!$A$7:$I$465,8,FALSE),"")</f>
        <v/>
      </c>
      <c r="K28" s="120" t="str">
        <f>IFERROR(VLOOKUP(G28,'Costo UC'!$A$7:$I$465,3,FALSE),"")</f>
        <v/>
      </c>
      <c r="L28" s="120" t="str">
        <f>IFERROR(VLOOKUP(G28,'Costo UC'!$A$7:$I$465,4,FALSE),"")</f>
        <v/>
      </c>
      <c r="M28" s="120" t="str">
        <f>IFERROR(VLOOKUP(G28,'Costo UC'!$A$7:$I$465,5,FALSE),"")</f>
        <v/>
      </c>
      <c r="N28" s="120" t="str">
        <f>IFERROR(VLOOKUP(G28,'Costo UC'!$A$7:$I$465,6,FALSE),"")</f>
        <v/>
      </c>
      <c r="O28" s="121">
        <f>IFERROR(IF(VLOOKUP(G28,'Costo UC'!$A$7:$I$465,9,FALSE)="TRANSFORMADORES",L28+M28*F28,IF(VLOOKUP(G28,'Costo UC'!$A$7:$I$465,9,FALSE)="EQUIPOS DE COMPENSACION",L28+N28*F28,K28*F28)),0)</f>
        <v>0</v>
      </c>
      <c r="P28" s="252">
        <f>Inversion!D24</f>
        <v>0</v>
      </c>
      <c r="Q28" s="253">
        <f>Inversion!B24</f>
        <v>0</v>
      </c>
      <c r="R28" s="242" t="str">
        <f>IFERROR(VLOOKUP(Q28,'Costo UC'!$A$7:$I$465,2,FALSE),"")</f>
        <v/>
      </c>
      <c r="S28" s="242" t="str">
        <f>IFERROR(VLOOKUP(Q28,'Costo UC'!$A$7:$I$465,7,FALSE),"")</f>
        <v/>
      </c>
      <c r="T28" s="242" t="str">
        <f>IFERROR(VLOOKUP(Q28,'Costo UC'!$A$7:$I$465,8,FALSE),"")</f>
        <v/>
      </c>
      <c r="U28" s="254" t="str">
        <f>IFERROR(VLOOKUP(Q28,'Costo UC'!$A$7:$I$465,3,FALSE),"")</f>
        <v/>
      </c>
      <c r="V28" s="254" t="str">
        <f>IFERROR(VLOOKUP(Q28,'Costo UC'!$A$7:$I$465,4,FALSE),"")</f>
        <v/>
      </c>
      <c r="W28" s="254" t="str">
        <f>IFERROR(VLOOKUP(Q28,'Costo UC'!$A$7:$I$465,5,FALSE),"")</f>
        <v/>
      </c>
      <c r="X28" s="254" t="str">
        <f>IFERROR(VLOOKUP(Q28,'Costo UC'!$A$7:$I$465,6,FALSE),"")</f>
        <v/>
      </c>
      <c r="Y28" s="254">
        <f>IFERROR(IF(VLOOKUP(Q28,'Costo UC'!$A$7:$I$465,9,FALSE)="TRANSFORMADORES",V28+W28*P28,IF(VLOOKUP(Q28,'Costo UC'!$A$7:$I$465,9,FALSE)="EQUIPOS DE COMPENSACION",V28+X28*P28,U28*P28)),0)</f>
        <v>0</v>
      </c>
      <c r="Z28" s="254">
        <f t="shared" si="7"/>
        <v>0</v>
      </c>
      <c r="AA28" s="255"/>
      <c r="AB28" s="256" t="str">
        <f t="shared" si="8"/>
        <v/>
      </c>
      <c r="AC28" s="255">
        <f t="shared" si="3"/>
        <v>0</v>
      </c>
      <c r="AD28" s="242">
        <f t="shared" si="4"/>
        <v>0</v>
      </c>
      <c r="AE28" s="242" t="str">
        <f>IF(Inversion!Q24&lt;&gt;0,1,IF(Inversion!S24&lt;&gt;0,2,IF(Inversion!U24&lt;&gt;0,3,IF(Inversion!W24&lt;&gt;0,4,""))))</f>
        <v/>
      </c>
      <c r="AF28" s="242" t="str">
        <f>IF(Inversion!W24&lt;&gt;0,4,IF(Inversion!U24&lt;&gt;0,3,IF(Inversion!S24&lt;&gt;0,2,IF(Inversion!Q24&lt;&gt;0,1,""))))</f>
        <v/>
      </c>
      <c r="AG28" s="242" t="str">
        <f t="shared" si="9"/>
        <v/>
      </c>
      <c r="AH28" s="242" t="str">
        <f t="shared" si="10"/>
        <v>NA</v>
      </c>
      <c r="AI28" s="254">
        <f t="shared" si="11"/>
        <v>0</v>
      </c>
    </row>
    <row r="29" spans="1:35" s="61" customFormat="1" ht="25.5" x14ac:dyDescent="0.2">
      <c r="A29" s="708"/>
      <c r="B29" s="708"/>
      <c r="C29" s="708"/>
      <c r="D29" s="197" t="s">
        <v>1340</v>
      </c>
      <c r="E29" s="110" t="s">
        <v>1430</v>
      </c>
      <c r="F29" s="118">
        <v>8</v>
      </c>
      <c r="G29" s="119" t="s">
        <v>200</v>
      </c>
      <c r="H29" s="117" t="str">
        <f>IFERROR(VLOOKUP(G29,'Costo UC'!$A$7:$I$465,2,FALSE),"")</f>
        <v>km LÍNEA RURAL - CIRCUITO SENCILLO - POSTE CONCRETO - CONDUCTOR D-N3-2</v>
      </c>
      <c r="I29" s="117">
        <f>IFERROR(VLOOKUP(G29,'Costo UC'!$A$7:$I$465,7,FALSE),"")</f>
        <v>40</v>
      </c>
      <c r="J29" s="117">
        <f>IFERROR(VLOOKUP(G29,'Costo UC'!$A$7:$I$465,8,FALSE),"")</f>
        <v>3</v>
      </c>
      <c r="K29" s="120">
        <f>IFERROR(VLOOKUP(G29,'Costo UC'!$A$7:$I$465,3,FALSE),"")</f>
        <v>51500000</v>
      </c>
      <c r="L29" s="120">
        <f>IFERROR(VLOOKUP(G29,'Costo UC'!$A$7:$I$465,4,FALSE),"")</f>
        <v>0</v>
      </c>
      <c r="M29" s="120">
        <f>IFERROR(VLOOKUP(G29,'Costo UC'!$A$7:$I$465,5,FALSE),"")</f>
        <v>0</v>
      </c>
      <c r="N29" s="120">
        <f>IFERROR(VLOOKUP(G29,'Costo UC'!$A$7:$I$465,6,FALSE),"")</f>
        <v>0</v>
      </c>
      <c r="O29" s="121">
        <f>IFERROR(IF(VLOOKUP(G29,'Costo UC'!$A$7:$I$465,9,FALSE)="TRANSFORMADORES",L29+M29*F29,IF(VLOOKUP(G29,'Costo UC'!$A$7:$I$465,9,FALSE)="EQUIPOS DE COMPENSACION",L29+N29*F29,K29*F29)),0)</f>
        <v>412000000</v>
      </c>
      <c r="P29" s="252">
        <f>Inversion!D25</f>
        <v>8</v>
      </c>
      <c r="Q29" s="253" t="str">
        <f>Inversion!B25</f>
        <v>N3L5</v>
      </c>
      <c r="R29" s="242" t="str">
        <f>IFERROR(VLOOKUP(Q29,'Costo UC'!$A$7:$I$465,2,FALSE),"")</f>
        <v>km LÍNEA RURAL - CIRCUITO SENCILLO - POSTE CONCRETO - CONDUCTOR D-N3-2</v>
      </c>
      <c r="S29" s="242">
        <f>IFERROR(VLOOKUP(Q29,'Costo UC'!$A$7:$I$465,7,FALSE),"")</f>
        <v>40</v>
      </c>
      <c r="T29" s="242">
        <f>IFERROR(VLOOKUP(Q29,'Costo UC'!$A$7:$I$465,8,FALSE),"")</f>
        <v>3</v>
      </c>
      <c r="U29" s="254">
        <f>IFERROR(VLOOKUP(Q29,'Costo UC'!$A$7:$I$465,3,FALSE),"")</f>
        <v>51500000</v>
      </c>
      <c r="V29" s="254">
        <f>IFERROR(VLOOKUP(Q29,'Costo UC'!$A$7:$I$465,4,FALSE),"")</f>
        <v>0</v>
      </c>
      <c r="W29" s="254">
        <f>IFERROR(VLOOKUP(Q29,'Costo UC'!$A$7:$I$465,5,FALSE),"")</f>
        <v>0</v>
      </c>
      <c r="X29" s="254">
        <f>IFERROR(VLOOKUP(Q29,'Costo UC'!$A$7:$I$465,6,FALSE),"")</f>
        <v>0</v>
      </c>
      <c r="Y29" s="254">
        <f>IFERROR(IF(VLOOKUP(Q29,'Costo UC'!$A$7:$I$465,9,FALSE)="TRANSFORMADORES",V29+W29*P29,IF(VLOOKUP(Q29,'Costo UC'!$A$7:$I$465,9,FALSE)="EQUIPOS DE COMPENSACION",V29+X29*P29,U29*P29)),0)</f>
        <v>412000000</v>
      </c>
      <c r="Z29" s="254">
        <f t="shared" si="7"/>
        <v>412000000</v>
      </c>
      <c r="AA29" s="255"/>
      <c r="AB29" s="256">
        <f t="shared" si="8"/>
        <v>0</v>
      </c>
      <c r="AC29" s="255">
        <f t="shared" si="3"/>
        <v>0.13900000000000001</v>
      </c>
      <c r="AD29" s="242">
        <f t="shared" si="4"/>
        <v>1</v>
      </c>
      <c r="AE29" s="242">
        <f>IF(Inversion!Q25&lt;&gt;0,1,IF(Inversion!S25&lt;&gt;0,2,IF(Inversion!U25&lt;&gt;0,3,IF(Inversion!W25&lt;&gt;0,4,""))))</f>
        <v>1</v>
      </c>
      <c r="AF29" s="242">
        <f>IF(Inversion!W25&lt;&gt;0,4,IF(Inversion!U25&lt;&gt;0,3,IF(Inversion!S25&lt;&gt;0,2,IF(Inversion!Q25&lt;&gt;0,1,""))))</f>
        <v>2</v>
      </c>
      <c r="AG29" s="242">
        <f t="shared" si="9"/>
        <v>3</v>
      </c>
      <c r="AH29" s="242" t="str">
        <f t="shared" si="10"/>
        <v>Reposicion</v>
      </c>
      <c r="AI29" s="254">
        <f t="shared" si="11"/>
        <v>0</v>
      </c>
    </row>
    <row r="30" spans="1:35" s="61" customFormat="1" ht="25.5" x14ac:dyDescent="0.2">
      <c r="A30" s="708"/>
      <c r="B30" s="708"/>
      <c r="C30" s="708"/>
      <c r="D30" s="197" t="s">
        <v>1341</v>
      </c>
      <c r="E30" s="110" t="s">
        <v>1431</v>
      </c>
      <c r="F30" s="118">
        <v>28</v>
      </c>
      <c r="G30" s="119" t="s">
        <v>198</v>
      </c>
      <c r="H30" s="117" t="str">
        <f>IFERROR(VLOOKUP(G30,'Costo UC'!$A$7:$I$465,2,FALSE),"")</f>
        <v>km LÍNEA RURAL - CIRCUITO SENCILLO - POSTE CONCRETO - CONDUCTOR D-N3-1</v>
      </c>
      <c r="I30" s="117">
        <f>IFERROR(VLOOKUP(G30,'Costo UC'!$A$7:$I$465,7,FALSE),"")</f>
        <v>40</v>
      </c>
      <c r="J30" s="117">
        <f>IFERROR(VLOOKUP(G30,'Costo UC'!$A$7:$I$465,8,FALSE),"")</f>
        <v>3</v>
      </c>
      <c r="K30" s="120">
        <f>IFERROR(VLOOKUP(G30,'Costo UC'!$A$7:$I$465,3,FALSE),"")</f>
        <v>44215000</v>
      </c>
      <c r="L30" s="120">
        <f>IFERROR(VLOOKUP(G30,'Costo UC'!$A$7:$I$465,4,FALSE),"")</f>
        <v>0</v>
      </c>
      <c r="M30" s="120">
        <f>IFERROR(VLOOKUP(G30,'Costo UC'!$A$7:$I$465,5,FALSE),"")</f>
        <v>0</v>
      </c>
      <c r="N30" s="120">
        <f>IFERROR(VLOOKUP(G30,'Costo UC'!$A$7:$I$465,6,FALSE),"")</f>
        <v>0</v>
      </c>
      <c r="O30" s="121">
        <f>IFERROR(IF(VLOOKUP(G30,'Costo UC'!$A$7:$I$465,9,FALSE)="TRANSFORMADORES",L30+M30*F30,IF(VLOOKUP(G30,'Costo UC'!$A$7:$I$465,9,FALSE)="EQUIPOS DE COMPENSACION",L30+N30*F30,K30*F30)),0)</f>
        <v>1238020000</v>
      </c>
      <c r="P30" s="252">
        <f>Inversion!D26</f>
        <v>28</v>
      </c>
      <c r="Q30" s="253" t="str">
        <f>Inversion!B26</f>
        <v>N3L5</v>
      </c>
      <c r="R30" s="242" t="str">
        <f>IFERROR(VLOOKUP(Q30,'Costo UC'!$A$7:$I$465,2,FALSE),"")</f>
        <v>km LÍNEA RURAL - CIRCUITO SENCILLO - POSTE CONCRETO - CONDUCTOR D-N3-2</v>
      </c>
      <c r="S30" s="242">
        <f>IFERROR(VLOOKUP(Q30,'Costo UC'!$A$7:$I$465,7,FALSE),"")</f>
        <v>40</v>
      </c>
      <c r="T30" s="242">
        <f>IFERROR(VLOOKUP(Q30,'Costo UC'!$A$7:$I$465,8,FALSE),"")</f>
        <v>3</v>
      </c>
      <c r="U30" s="254">
        <f>IFERROR(VLOOKUP(Q30,'Costo UC'!$A$7:$I$465,3,FALSE),"")</f>
        <v>51500000</v>
      </c>
      <c r="V30" s="254">
        <f>IFERROR(VLOOKUP(Q30,'Costo UC'!$A$7:$I$465,4,FALSE),"")</f>
        <v>0</v>
      </c>
      <c r="W30" s="254">
        <f>IFERROR(VLOOKUP(Q30,'Costo UC'!$A$7:$I$465,5,FALSE),"")</f>
        <v>0</v>
      </c>
      <c r="X30" s="254">
        <f>IFERROR(VLOOKUP(Q30,'Costo UC'!$A$7:$I$465,6,FALSE),"")</f>
        <v>0</v>
      </c>
      <c r="Y30" s="254">
        <f>IFERROR(IF(VLOOKUP(Q30,'Costo UC'!$A$7:$I$465,9,FALSE)="TRANSFORMADORES",V30+W30*P30,IF(VLOOKUP(Q30,'Costo UC'!$A$7:$I$465,9,FALSE)="EQUIPOS DE COMPENSACION",V30+X30*P30,U30*P30)),0)</f>
        <v>1442000000</v>
      </c>
      <c r="Z30" s="254">
        <f t="shared" si="7"/>
        <v>1442000000</v>
      </c>
      <c r="AA30" s="255"/>
      <c r="AB30" s="256">
        <f t="shared" si="8"/>
        <v>28509549.66386985</v>
      </c>
      <c r="AC30" s="255">
        <f t="shared" si="3"/>
        <v>0.13900000000000001</v>
      </c>
      <c r="AD30" s="242">
        <f t="shared" si="4"/>
        <v>1</v>
      </c>
      <c r="AE30" s="242">
        <f>IF(Inversion!Q26&lt;&gt;0,1,IF(Inversion!S26&lt;&gt;0,2,IF(Inversion!U26&lt;&gt;0,3,IF(Inversion!W26&lt;&gt;0,4,""))))</f>
        <v>1</v>
      </c>
      <c r="AF30" s="242">
        <f>IF(Inversion!W26&lt;&gt;0,4,IF(Inversion!U26&lt;&gt;0,3,IF(Inversion!S26&lt;&gt;0,2,IF(Inversion!Q26&lt;&gt;0,1,""))))</f>
        <v>2</v>
      </c>
      <c r="AG30" s="242">
        <f t="shared" si="9"/>
        <v>3</v>
      </c>
      <c r="AH30" s="242" t="str">
        <f t="shared" si="10"/>
        <v>Reposicion</v>
      </c>
      <c r="AI30" s="254">
        <f t="shared" si="11"/>
        <v>0</v>
      </c>
    </row>
    <row r="31" spans="1:35" s="61" customFormat="1" ht="25.5" x14ac:dyDescent="0.2">
      <c r="A31" s="708"/>
      <c r="B31" s="708"/>
      <c r="C31" s="708"/>
      <c r="D31" s="197" t="s">
        <v>1342</v>
      </c>
      <c r="E31" s="110" t="s">
        <v>1432</v>
      </c>
      <c r="F31" s="118">
        <v>16</v>
      </c>
      <c r="G31" s="119" t="s">
        <v>198</v>
      </c>
      <c r="H31" s="117" t="str">
        <f>IFERROR(VLOOKUP(G31,'Costo UC'!$A$7:$I$465,2,FALSE),"")</f>
        <v>km LÍNEA RURAL - CIRCUITO SENCILLO - POSTE CONCRETO - CONDUCTOR D-N3-1</v>
      </c>
      <c r="I31" s="117">
        <f>IFERROR(VLOOKUP(G31,'Costo UC'!$A$7:$I$465,7,FALSE),"")</f>
        <v>40</v>
      </c>
      <c r="J31" s="117">
        <f>IFERROR(VLOOKUP(G31,'Costo UC'!$A$7:$I$465,8,FALSE),"")</f>
        <v>3</v>
      </c>
      <c r="K31" s="120">
        <f>IFERROR(VLOOKUP(G31,'Costo UC'!$A$7:$I$465,3,FALSE),"")</f>
        <v>44215000</v>
      </c>
      <c r="L31" s="120">
        <f>IFERROR(VLOOKUP(G31,'Costo UC'!$A$7:$I$465,4,FALSE),"")</f>
        <v>0</v>
      </c>
      <c r="M31" s="120">
        <f>IFERROR(VLOOKUP(G31,'Costo UC'!$A$7:$I$465,5,FALSE),"")</f>
        <v>0</v>
      </c>
      <c r="N31" s="120">
        <f>IFERROR(VLOOKUP(G31,'Costo UC'!$A$7:$I$465,6,FALSE),"")</f>
        <v>0</v>
      </c>
      <c r="O31" s="121">
        <f>IFERROR(IF(VLOOKUP(G31,'Costo UC'!$A$7:$I$465,9,FALSE)="TRANSFORMADORES",L31+M31*F31,IF(VLOOKUP(G31,'Costo UC'!$A$7:$I$465,9,FALSE)="EQUIPOS DE COMPENSACION",L31+N31*F31,K31*F31)),0)</f>
        <v>707440000</v>
      </c>
      <c r="P31" s="252">
        <f>Inversion!D27</f>
        <v>16</v>
      </c>
      <c r="Q31" s="253" t="str">
        <f>Inversion!B27</f>
        <v>N3L5</v>
      </c>
      <c r="R31" s="242" t="str">
        <f>IFERROR(VLOOKUP(Q31,'Costo UC'!$A$7:$I$465,2,FALSE),"")</f>
        <v>km LÍNEA RURAL - CIRCUITO SENCILLO - POSTE CONCRETO - CONDUCTOR D-N3-2</v>
      </c>
      <c r="S31" s="242">
        <f>IFERROR(VLOOKUP(Q31,'Costo UC'!$A$7:$I$465,7,FALSE),"")</f>
        <v>40</v>
      </c>
      <c r="T31" s="242">
        <f>IFERROR(VLOOKUP(Q31,'Costo UC'!$A$7:$I$465,8,FALSE),"")</f>
        <v>3</v>
      </c>
      <c r="U31" s="254">
        <f>IFERROR(VLOOKUP(Q31,'Costo UC'!$A$7:$I$465,3,FALSE),"")</f>
        <v>51500000</v>
      </c>
      <c r="V31" s="254">
        <f>IFERROR(VLOOKUP(Q31,'Costo UC'!$A$7:$I$465,4,FALSE),"")</f>
        <v>0</v>
      </c>
      <c r="W31" s="254">
        <f>IFERROR(VLOOKUP(Q31,'Costo UC'!$A$7:$I$465,5,FALSE),"")</f>
        <v>0</v>
      </c>
      <c r="X31" s="254">
        <f>IFERROR(VLOOKUP(Q31,'Costo UC'!$A$7:$I$465,6,FALSE),"")</f>
        <v>0</v>
      </c>
      <c r="Y31" s="254">
        <f>IFERROR(IF(VLOOKUP(Q31,'Costo UC'!$A$7:$I$465,9,FALSE)="TRANSFORMADORES",V31+W31*P31,IF(VLOOKUP(Q31,'Costo UC'!$A$7:$I$465,9,FALSE)="EQUIPOS DE COMPENSACION",V31+X31*P31,U31*P31)),0)</f>
        <v>824000000</v>
      </c>
      <c r="Z31" s="254">
        <f t="shared" si="7"/>
        <v>824000000</v>
      </c>
      <c r="AA31" s="255"/>
      <c r="AB31" s="256">
        <f t="shared" si="8"/>
        <v>16291171.236497058</v>
      </c>
      <c r="AC31" s="255">
        <f t="shared" si="3"/>
        <v>0.13900000000000001</v>
      </c>
      <c r="AD31" s="242">
        <f t="shared" si="4"/>
        <v>1</v>
      </c>
      <c r="AE31" s="242">
        <f>IF(Inversion!Q27&lt;&gt;0,1,IF(Inversion!S27&lt;&gt;0,2,IF(Inversion!U27&lt;&gt;0,3,IF(Inversion!W27&lt;&gt;0,4,""))))</f>
        <v>1</v>
      </c>
      <c r="AF31" s="242">
        <f>IF(Inversion!W27&lt;&gt;0,4,IF(Inversion!U27&lt;&gt;0,3,IF(Inversion!S27&lt;&gt;0,2,IF(Inversion!Q27&lt;&gt;0,1,""))))</f>
        <v>2</v>
      </c>
      <c r="AG31" s="242">
        <f t="shared" si="9"/>
        <v>3</v>
      </c>
      <c r="AH31" s="242" t="str">
        <f t="shared" si="10"/>
        <v>Reposicion</v>
      </c>
      <c r="AI31" s="254">
        <f t="shared" si="11"/>
        <v>0</v>
      </c>
    </row>
    <row r="32" spans="1:35" s="61" customFormat="1" ht="25.5" x14ac:dyDescent="0.2">
      <c r="A32" s="708"/>
      <c r="B32" s="708"/>
      <c r="C32" s="708"/>
      <c r="D32" s="196">
        <v>4</v>
      </c>
      <c r="E32" s="135" t="s">
        <v>1332</v>
      </c>
      <c r="F32" s="118"/>
      <c r="G32" s="119"/>
      <c r="H32" s="117" t="str">
        <f>IFERROR(VLOOKUP(G32,'Costo UC'!$A$7:$I$465,2,FALSE),"")</f>
        <v/>
      </c>
      <c r="I32" s="117" t="str">
        <f>IFERROR(VLOOKUP(G32,'Costo UC'!$A$7:$I$465,7,FALSE),"")</f>
        <v/>
      </c>
      <c r="J32" s="117" t="str">
        <f>IFERROR(VLOOKUP(G32,'Costo UC'!$A$7:$I$465,8,FALSE),"")</f>
        <v/>
      </c>
      <c r="K32" s="120" t="str">
        <f>IFERROR(VLOOKUP(G32,'Costo UC'!$A$7:$I$465,3,FALSE),"")</f>
        <v/>
      </c>
      <c r="L32" s="120" t="str">
        <f>IFERROR(VLOOKUP(G32,'Costo UC'!$A$7:$I$465,4,FALSE),"")</f>
        <v/>
      </c>
      <c r="M32" s="120" t="str">
        <f>IFERROR(VLOOKUP(G32,'Costo UC'!$A$7:$I$465,5,FALSE),"")</f>
        <v/>
      </c>
      <c r="N32" s="120" t="str">
        <f>IFERROR(VLOOKUP(G32,'Costo UC'!$A$7:$I$465,6,FALSE),"")</f>
        <v/>
      </c>
      <c r="O32" s="121">
        <f>IFERROR(IF(VLOOKUP(G32,'Costo UC'!$A$7:$I$465,9,FALSE)="TRANSFORMADORES",L32+M32*F32,IF(VLOOKUP(G32,'Costo UC'!$A$7:$I$465,9,FALSE)="EQUIPOS DE COMPENSACION",L32+N32*F32,K32*F32)),0)</f>
        <v>0</v>
      </c>
      <c r="P32" s="252">
        <f>Inversion!D28</f>
        <v>0</v>
      </c>
      <c r="Q32" s="253">
        <f>Inversion!B28</f>
        <v>0</v>
      </c>
      <c r="R32" s="242" t="str">
        <f>IFERROR(VLOOKUP(Q32,'Costo UC'!$A$7:$I$465,2,FALSE),"")</f>
        <v/>
      </c>
      <c r="S32" s="242" t="str">
        <f>IFERROR(VLOOKUP(Q32,'Costo UC'!$A$7:$I$465,7,FALSE),"")</f>
        <v/>
      </c>
      <c r="T32" s="242" t="str">
        <f>IFERROR(VLOOKUP(Q32,'Costo UC'!$A$7:$I$465,8,FALSE),"")</f>
        <v/>
      </c>
      <c r="U32" s="254" t="str">
        <f>IFERROR(VLOOKUP(Q32,'Costo UC'!$A$7:$I$465,3,FALSE),"")</f>
        <v/>
      </c>
      <c r="V32" s="254" t="str">
        <f>IFERROR(VLOOKUP(Q32,'Costo UC'!$A$7:$I$465,4,FALSE),"")</f>
        <v/>
      </c>
      <c r="W32" s="254" t="str">
        <f>IFERROR(VLOOKUP(Q32,'Costo UC'!$A$7:$I$465,5,FALSE),"")</f>
        <v/>
      </c>
      <c r="X32" s="254" t="str">
        <f>IFERROR(VLOOKUP(Q32,'Costo UC'!$A$7:$I$465,6,FALSE),"")</f>
        <v/>
      </c>
      <c r="Y32" s="254">
        <f>IFERROR(IF(VLOOKUP(Q32,'Costo UC'!$A$7:$I$465,9,FALSE)="TRANSFORMADORES",V32+W32*P32,IF(VLOOKUP(Q32,'Costo UC'!$A$7:$I$465,9,FALSE)="EQUIPOS DE COMPENSACION",V32+X32*P32,U32*P32)),0)</f>
        <v>0</v>
      </c>
      <c r="Z32" s="254">
        <f t="shared" si="7"/>
        <v>0</v>
      </c>
      <c r="AA32" s="255"/>
      <c r="AB32" s="256" t="str">
        <f t="shared" si="8"/>
        <v/>
      </c>
      <c r="AC32" s="255">
        <f t="shared" si="3"/>
        <v>0</v>
      </c>
      <c r="AD32" s="242">
        <f t="shared" si="4"/>
        <v>0</v>
      </c>
      <c r="AE32" s="242" t="str">
        <f>IF(Inversion!Q28&lt;&gt;0,1,IF(Inversion!S28&lt;&gt;0,2,IF(Inversion!U28&lt;&gt;0,3,IF(Inversion!W28&lt;&gt;0,4,""))))</f>
        <v/>
      </c>
      <c r="AF32" s="242" t="str">
        <f>IF(Inversion!W28&lt;&gt;0,4,IF(Inversion!U28&lt;&gt;0,3,IF(Inversion!S28&lt;&gt;0,2,IF(Inversion!Q28&lt;&gt;0,1,""))))</f>
        <v/>
      </c>
      <c r="AG32" s="242" t="str">
        <f t="shared" si="9"/>
        <v/>
      </c>
      <c r="AH32" s="242" t="str">
        <f t="shared" si="10"/>
        <v>NA</v>
      </c>
      <c r="AI32" s="254">
        <f t="shared" si="11"/>
        <v>0</v>
      </c>
    </row>
    <row r="33" spans="1:36" s="61" customFormat="1" ht="25.5" x14ac:dyDescent="0.2">
      <c r="A33" s="708"/>
      <c r="B33" s="708"/>
      <c r="C33" s="708"/>
      <c r="D33" s="197" t="s">
        <v>1343</v>
      </c>
      <c r="E33" s="110" t="s">
        <v>1350</v>
      </c>
      <c r="F33" s="118"/>
      <c r="G33" s="119"/>
      <c r="H33" s="117" t="str">
        <f>IFERROR(VLOOKUP(G33,'Costo UC'!$A$7:$I$465,2,FALSE),"")</f>
        <v/>
      </c>
      <c r="I33" s="117" t="str">
        <f>IFERROR(VLOOKUP(G33,'Costo UC'!$A$7:$I$465,7,FALSE),"")</f>
        <v/>
      </c>
      <c r="J33" s="117" t="str">
        <f>IFERROR(VLOOKUP(G33,'Costo UC'!$A$7:$I$465,8,FALSE),"")</f>
        <v/>
      </c>
      <c r="K33" s="120" t="str">
        <f>IFERROR(VLOOKUP(G33,'Costo UC'!$A$7:$I$465,3,FALSE),"")</f>
        <v/>
      </c>
      <c r="L33" s="120" t="str">
        <f>IFERROR(VLOOKUP(G33,'Costo UC'!$A$7:$I$465,4,FALSE),"")</f>
        <v/>
      </c>
      <c r="M33" s="120" t="str">
        <f>IFERROR(VLOOKUP(G33,'Costo UC'!$A$7:$I$465,5,FALSE),"")</f>
        <v/>
      </c>
      <c r="N33" s="120" t="str">
        <f>IFERROR(VLOOKUP(G33,'Costo UC'!$A$7:$I$465,6,FALSE),"")</f>
        <v/>
      </c>
      <c r="O33" s="121">
        <f>IFERROR(IF(VLOOKUP(G33,'Costo UC'!$A$7:$I$465,9,FALSE)="TRANSFORMADORES",L33+M33*F33,IF(VLOOKUP(G33,'Costo UC'!$A$7:$I$465,9,FALSE)="EQUIPOS DE COMPENSACION",L33+N33*F33,K33*F33)),0)</f>
        <v>0</v>
      </c>
      <c r="P33" s="257">
        <f>Inversion!D29</f>
        <v>10</v>
      </c>
      <c r="Q33" s="253" t="str">
        <f>Inversion!B29</f>
        <v>N3EQ5</v>
      </c>
      <c r="R33" s="242" t="str">
        <f>IFERROR(VLOOKUP(Q33,'Costo UC'!$A$7:$I$465,2,FALSE),"")</f>
        <v>RECONECTADOR N3</v>
      </c>
      <c r="S33" s="242">
        <f>IFERROR(VLOOKUP(Q33,'Costo UC'!$A$7:$I$465,7,FALSE),"")</f>
        <v>30</v>
      </c>
      <c r="T33" s="242">
        <f>IFERROR(VLOOKUP(Q33,'Costo UC'!$A$7:$I$465,8,FALSE),"")</f>
        <v>3</v>
      </c>
      <c r="U33" s="254">
        <f>IFERROR(VLOOKUP(Q33,'Costo UC'!$A$7:$I$465,3,FALSE),"")</f>
        <v>73482000</v>
      </c>
      <c r="V33" s="254">
        <f>IFERROR(VLOOKUP(Q33,'Costo UC'!$A$7:$I$465,4,FALSE),"")</f>
        <v>0</v>
      </c>
      <c r="W33" s="254">
        <f>IFERROR(VLOOKUP(Q33,'Costo UC'!$A$7:$I$465,5,FALSE),"")</f>
        <v>0</v>
      </c>
      <c r="X33" s="254">
        <f>IFERROR(VLOOKUP(Q33,'Costo UC'!$A$7:$I$465,6,FALSE),"")</f>
        <v>0</v>
      </c>
      <c r="Y33" s="254">
        <f>IFERROR(IF(VLOOKUP(Q33,'Costo UC'!$A$7:$I$465,9,FALSE)="TRANSFORMADORES",V33+W33*P33,IF(VLOOKUP(Q33,'Costo UC'!$A$7:$I$465,9,FALSE)="EQUIPOS DE COMPENSACION",V33+X33*P33,U33*P33)),0)</f>
        <v>734820000</v>
      </c>
      <c r="Z33" s="254">
        <f t="shared" si="7"/>
        <v>734820000</v>
      </c>
      <c r="AA33" s="255"/>
      <c r="AB33" s="256">
        <f t="shared" si="8"/>
        <v>104240489.84384744</v>
      </c>
      <c r="AC33" s="255">
        <f t="shared" si="3"/>
        <v>0.13900000000000001</v>
      </c>
      <c r="AD33" s="242">
        <f t="shared" si="4"/>
        <v>1</v>
      </c>
      <c r="AE33" s="242">
        <f>IF(Inversion!Q29&lt;&gt;0,1,IF(Inversion!S29&lt;&gt;0,2,IF(Inversion!U29&lt;&gt;0,3,IF(Inversion!W29&lt;&gt;0,4,""))))</f>
        <v>1</v>
      </c>
      <c r="AF33" s="242">
        <f>IF(Inversion!W29&lt;&gt;0,4,IF(Inversion!U29&lt;&gt;0,3,IF(Inversion!S29&lt;&gt;0,2,IF(Inversion!Q29&lt;&gt;0,1,""))))</f>
        <v>2</v>
      </c>
      <c r="AG33" s="242">
        <f t="shared" si="9"/>
        <v>3</v>
      </c>
      <c r="AH33" s="242" t="str">
        <f t="shared" si="10"/>
        <v>Nueva</v>
      </c>
      <c r="AI33" s="254">
        <f t="shared" si="11"/>
        <v>734820000</v>
      </c>
    </row>
    <row r="34" spans="1:36" s="61" customFormat="1" ht="25.5" x14ac:dyDescent="0.2">
      <c r="A34" s="708"/>
      <c r="B34" s="708"/>
      <c r="C34" s="708"/>
      <c r="D34" s="196">
        <v>5</v>
      </c>
      <c r="E34" s="135" t="s">
        <v>1333</v>
      </c>
      <c r="F34" s="118"/>
      <c r="G34" s="119"/>
      <c r="H34" s="117" t="str">
        <f>IFERROR(VLOOKUP(G34,'Costo UC'!$A$7:$I$465,2,FALSE),"")</f>
        <v/>
      </c>
      <c r="I34" s="117" t="str">
        <f>IFERROR(VLOOKUP(G34,'Costo UC'!$A$7:$I$465,7,FALSE),"")</f>
        <v/>
      </c>
      <c r="J34" s="117" t="str">
        <f>IFERROR(VLOOKUP(G34,'Costo UC'!$A$7:$I$465,8,FALSE),"")</f>
        <v/>
      </c>
      <c r="K34" s="120" t="str">
        <f>IFERROR(VLOOKUP(G34,'Costo UC'!$A$7:$I$465,3,FALSE),"")</f>
        <v/>
      </c>
      <c r="L34" s="120" t="str">
        <f>IFERROR(VLOOKUP(G34,'Costo UC'!$A$7:$I$465,4,FALSE),"")</f>
        <v/>
      </c>
      <c r="M34" s="120" t="str">
        <f>IFERROR(VLOOKUP(G34,'Costo UC'!$A$7:$I$465,5,FALSE),"")</f>
        <v/>
      </c>
      <c r="N34" s="120" t="str">
        <f>IFERROR(VLOOKUP(G34,'Costo UC'!$A$7:$I$465,6,FALSE),"")</f>
        <v/>
      </c>
      <c r="O34" s="121">
        <f>IFERROR(IF(VLOOKUP(G34,'Costo UC'!$A$7:$I$465,9,FALSE)="TRANSFORMADORES",L34+M34*F34,IF(VLOOKUP(G34,'Costo UC'!$A$7:$I$465,9,FALSE)="EQUIPOS DE COMPENSACION",L34+N34*F34,K34*F34)),0)</f>
        <v>0</v>
      </c>
      <c r="P34" s="252">
        <f>Inversion!D30</f>
        <v>0</v>
      </c>
      <c r="Q34" s="253">
        <f>Inversion!B30</f>
        <v>0</v>
      </c>
      <c r="R34" s="242" t="str">
        <f>IFERROR(VLOOKUP(Q34,'Costo UC'!$A$7:$I$465,2,FALSE),"")</f>
        <v/>
      </c>
      <c r="S34" s="242" t="str">
        <f>IFERROR(VLOOKUP(Q34,'Costo UC'!$A$7:$I$465,7,FALSE),"")</f>
        <v/>
      </c>
      <c r="T34" s="242" t="str">
        <f>IFERROR(VLOOKUP(Q34,'Costo UC'!$A$7:$I$465,8,FALSE),"")</f>
        <v/>
      </c>
      <c r="U34" s="254" t="str">
        <f>IFERROR(VLOOKUP(Q34,'Costo UC'!$A$7:$I$465,3,FALSE),"")</f>
        <v/>
      </c>
      <c r="V34" s="254" t="str">
        <f>IFERROR(VLOOKUP(Q34,'Costo UC'!$A$7:$I$465,4,FALSE),"")</f>
        <v/>
      </c>
      <c r="W34" s="254" t="str">
        <f>IFERROR(VLOOKUP(Q34,'Costo UC'!$A$7:$I$465,5,FALSE),"")</f>
        <v/>
      </c>
      <c r="X34" s="254" t="str">
        <f>IFERROR(VLOOKUP(Q34,'Costo UC'!$A$7:$I$465,6,FALSE),"")</f>
        <v/>
      </c>
      <c r="Y34" s="254">
        <f>IFERROR(IF(VLOOKUP(Q34,'Costo UC'!$A$7:$I$465,9,FALSE)="TRANSFORMADORES",V34+W34*P34,IF(VLOOKUP(Q34,'Costo UC'!$A$7:$I$465,9,FALSE)="EQUIPOS DE COMPENSACION",V34+X34*P34,U34*P34)),0)</f>
        <v>0</v>
      </c>
      <c r="Z34" s="254">
        <f t="shared" si="7"/>
        <v>0</v>
      </c>
      <c r="AA34" s="255"/>
      <c r="AB34" s="256" t="str">
        <f t="shared" si="8"/>
        <v/>
      </c>
      <c r="AC34" s="255">
        <f t="shared" si="3"/>
        <v>0</v>
      </c>
      <c r="AD34" s="242">
        <f t="shared" si="4"/>
        <v>0</v>
      </c>
      <c r="AE34" s="242" t="str">
        <f>IF(Inversion!Q30&lt;&gt;0,1,IF(Inversion!S30&lt;&gt;0,2,IF(Inversion!U30&lt;&gt;0,3,IF(Inversion!W30&lt;&gt;0,4,""))))</f>
        <v/>
      </c>
      <c r="AF34" s="242" t="str">
        <f>IF(Inversion!W30&lt;&gt;0,4,IF(Inversion!U30&lt;&gt;0,3,IF(Inversion!S30&lt;&gt;0,2,IF(Inversion!Q30&lt;&gt;0,1,""))))</f>
        <v/>
      </c>
      <c r="AG34" s="242" t="str">
        <f t="shared" si="9"/>
        <v/>
      </c>
      <c r="AH34" s="242" t="str">
        <f t="shared" si="10"/>
        <v>NA</v>
      </c>
      <c r="AI34" s="254">
        <f t="shared" si="11"/>
        <v>0</v>
      </c>
    </row>
    <row r="35" spans="1:36" s="61" customFormat="1" ht="25.5" x14ac:dyDescent="0.2">
      <c r="A35" s="708"/>
      <c r="B35" s="708"/>
      <c r="C35" s="708"/>
      <c r="D35" s="197" t="s">
        <v>1344</v>
      </c>
      <c r="E35" s="110" t="s">
        <v>1433</v>
      </c>
      <c r="F35" s="118"/>
      <c r="G35" s="119"/>
      <c r="H35" s="117" t="str">
        <f>IFERROR(VLOOKUP(G35,'Costo UC'!$A$7:$I$465,2,FALSE),"")</f>
        <v/>
      </c>
      <c r="I35" s="117" t="str">
        <f>IFERROR(VLOOKUP(G35,'Costo UC'!$A$7:$I$465,7,FALSE),"")</f>
        <v/>
      </c>
      <c r="J35" s="117" t="str">
        <f>IFERROR(VLOOKUP(G35,'Costo UC'!$A$7:$I$465,8,FALSE),"")</f>
        <v/>
      </c>
      <c r="K35" s="120" t="str">
        <f>IFERROR(VLOOKUP(G35,'Costo UC'!$A$7:$I$465,3,FALSE),"")</f>
        <v/>
      </c>
      <c r="L35" s="120" t="str">
        <f>IFERROR(VLOOKUP(G35,'Costo UC'!$A$7:$I$465,4,FALSE),"")</f>
        <v/>
      </c>
      <c r="M35" s="120" t="str">
        <f>IFERROR(VLOOKUP(G35,'Costo UC'!$A$7:$I$465,5,FALSE),"")</f>
        <v/>
      </c>
      <c r="N35" s="120" t="str">
        <f>IFERROR(VLOOKUP(G35,'Costo UC'!$A$7:$I$465,6,FALSE),"")</f>
        <v/>
      </c>
      <c r="O35" s="121">
        <f>IFERROR(IF(VLOOKUP(G35,'Costo UC'!$A$7:$I$465,9,FALSE)="TRANSFORMADORES",L35+M35*F35,IF(VLOOKUP(G35,'Costo UC'!$A$7:$I$465,9,FALSE)="EQUIPOS DE COMPENSACION",L35+N35*F35,K35*F35)),0)</f>
        <v>0</v>
      </c>
      <c r="P35" s="252">
        <f>Inversion!D31</f>
        <v>2</v>
      </c>
      <c r="Q35" s="253" t="str">
        <f>Inversion!B31</f>
        <v>N3S11</v>
      </c>
      <c r="R35" s="242" t="str">
        <f>IFERROR(VLOOKUP(Q35,'Costo UC'!$A$7:$I$465,2,FALSE),"")</f>
        <v>CELDA DE LÍNEA - SUBESTACIÓN TIPO METALCLAD</v>
      </c>
      <c r="S35" s="242">
        <f>IFERROR(VLOOKUP(Q35,'Costo UC'!$A$7:$I$465,7,FALSE),"")</f>
        <v>30</v>
      </c>
      <c r="T35" s="242">
        <f>IFERROR(VLOOKUP(Q35,'Costo UC'!$A$7:$I$465,8,FALSE),"")</f>
        <v>3</v>
      </c>
      <c r="U35" s="254">
        <f>IFERROR(VLOOKUP(Q35,'Costo UC'!$A$7:$I$465,3,FALSE),"")</f>
        <v>235694000</v>
      </c>
      <c r="V35" s="254">
        <f>IFERROR(VLOOKUP(Q35,'Costo UC'!$A$7:$I$465,4,FALSE),"")</f>
        <v>0</v>
      </c>
      <c r="W35" s="254">
        <f>IFERROR(VLOOKUP(Q35,'Costo UC'!$A$7:$I$465,5,FALSE),"")</f>
        <v>0</v>
      </c>
      <c r="X35" s="254">
        <f>IFERROR(VLOOKUP(Q35,'Costo UC'!$A$7:$I$465,6,FALSE),"")</f>
        <v>0</v>
      </c>
      <c r="Y35" s="254">
        <f>IFERROR(IF(VLOOKUP(Q35,'Costo UC'!$A$7:$I$465,9,FALSE)="TRANSFORMADORES",V35+W35*P35,IF(VLOOKUP(Q35,'Costo UC'!$A$7:$I$465,9,FALSE)="EQUIPOS DE COMPENSACION",V35+X35*P35,U35*P35)),0)</f>
        <v>471388000</v>
      </c>
      <c r="Z35" s="254">
        <f t="shared" si="7"/>
        <v>471388000</v>
      </c>
      <c r="AA35" s="255"/>
      <c r="AB35" s="256">
        <f t="shared" si="8"/>
        <v>66870411.837608613</v>
      </c>
      <c r="AC35" s="255">
        <f t="shared" si="3"/>
        <v>0.13900000000000001</v>
      </c>
      <c r="AD35" s="242">
        <f t="shared" si="4"/>
        <v>1</v>
      </c>
      <c r="AE35" s="242">
        <f>IF(Inversion!Q31&lt;&gt;0,1,IF(Inversion!S31&lt;&gt;0,2,IF(Inversion!U31&lt;&gt;0,3,IF(Inversion!W31&lt;&gt;0,4,""))))</f>
        <v>1</v>
      </c>
      <c r="AF35" s="242">
        <f>IF(Inversion!W31&lt;&gt;0,4,IF(Inversion!U31&lt;&gt;0,3,IF(Inversion!S31&lt;&gt;0,2,IF(Inversion!Q31&lt;&gt;0,1,""))))</f>
        <v>2</v>
      </c>
      <c r="AG35" s="242">
        <f t="shared" si="9"/>
        <v>3</v>
      </c>
      <c r="AH35" s="242" t="str">
        <f t="shared" si="10"/>
        <v>Nueva</v>
      </c>
      <c r="AI35" s="254">
        <f t="shared" si="11"/>
        <v>471388000</v>
      </c>
    </row>
    <row r="36" spans="1:36" s="61" customFormat="1" ht="38.25" x14ac:dyDescent="0.2">
      <c r="A36" s="708"/>
      <c r="B36" s="708"/>
      <c r="C36" s="708"/>
      <c r="D36" s="197" t="s">
        <v>1441</v>
      </c>
      <c r="E36" s="110" t="s">
        <v>1416</v>
      </c>
      <c r="F36" s="118"/>
      <c r="G36" s="119"/>
      <c r="H36" s="117" t="str">
        <f>IFERROR(VLOOKUP(G36,'Costo UC'!$A$7:$I$465,2,FALSE),"")</f>
        <v/>
      </c>
      <c r="I36" s="117" t="str">
        <f>IFERROR(VLOOKUP(G36,'Costo UC'!$A$7:$I$465,7,FALSE),"")</f>
        <v/>
      </c>
      <c r="J36" s="117" t="str">
        <f>IFERROR(VLOOKUP(G36,'Costo UC'!$A$7:$I$465,8,FALSE),"")</f>
        <v/>
      </c>
      <c r="K36" s="120" t="str">
        <f>IFERROR(VLOOKUP(G36,'Costo UC'!$A$7:$I$465,3,FALSE),"")</f>
        <v/>
      </c>
      <c r="L36" s="120" t="str">
        <f>IFERROR(VLOOKUP(G36,'Costo UC'!$A$7:$I$465,4,FALSE),"")</f>
        <v/>
      </c>
      <c r="M36" s="120" t="str">
        <f>IFERROR(VLOOKUP(G36,'Costo UC'!$A$7:$I$465,5,FALSE),"")</f>
        <v/>
      </c>
      <c r="N36" s="120" t="str">
        <f>IFERROR(VLOOKUP(G36,'Costo UC'!$A$7:$I$465,6,FALSE),"")</f>
        <v/>
      </c>
      <c r="O36" s="121">
        <f>IFERROR(IF(VLOOKUP(G36,'Costo UC'!$A$7:$I$465,9,FALSE)="TRANSFORMADORES",L36+M36*F36,IF(VLOOKUP(G36,'Costo UC'!$A$7:$I$465,9,FALSE)="EQUIPOS DE COMPENSACION",L36+N36*F36,K36*F36)),0)</f>
        <v>0</v>
      </c>
      <c r="P36" s="252">
        <f>Inversion!D32</f>
        <v>3</v>
      </c>
      <c r="Q36" s="253" t="str">
        <f>Inversion!B32</f>
        <v>N2EQ5</v>
      </c>
      <c r="R36" s="242" t="str">
        <f>IFERROR(VLOOKUP(Q36,'Costo UC'!$A$7:$I$465,2,FALSE),"")</f>
        <v>BANCO DE CONDENSADORES MONTAJE EN POSTE 300KVAR</v>
      </c>
      <c r="S36" s="242">
        <f>IFERROR(VLOOKUP(Q36,'Costo UC'!$A$7:$I$465,7,FALSE),"")</f>
        <v>30</v>
      </c>
      <c r="T36" s="242">
        <f>IFERROR(VLOOKUP(Q36,'Costo UC'!$A$7:$I$465,8,FALSE),"")</f>
        <v>2</v>
      </c>
      <c r="U36" s="254">
        <f>IFERROR(VLOOKUP(Q36,'Costo UC'!$A$7:$I$465,3,FALSE),"")</f>
        <v>13834000</v>
      </c>
      <c r="V36" s="254">
        <f>IFERROR(VLOOKUP(Q36,'Costo UC'!$A$7:$I$465,4,FALSE),"")</f>
        <v>0</v>
      </c>
      <c r="W36" s="254">
        <f>IFERROR(VLOOKUP(Q36,'Costo UC'!$A$7:$I$465,5,FALSE),"")</f>
        <v>0</v>
      </c>
      <c r="X36" s="254">
        <f>IFERROR(VLOOKUP(Q36,'Costo UC'!$A$7:$I$465,6,FALSE),"")</f>
        <v>0</v>
      </c>
      <c r="Y36" s="254">
        <f>IFERROR(IF(VLOOKUP(Q36,'Costo UC'!$A$7:$I$465,9,FALSE)="TRANSFORMADORES",V36+W36*P36,IF(VLOOKUP(Q36,'Costo UC'!$A$7:$I$465,9,FALSE)="EQUIPOS DE COMPENSACION",V36+X36*P36,U36*P36)),0)</f>
        <v>41502000</v>
      </c>
      <c r="Z36" s="254">
        <f t="shared" si="7"/>
        <v>41502000</v>
      </c>
      <c r="AA36" s="255"/>
      <c r="AB36" s="256">
        <f t="shared" si="8"/>
        <v>5887412.9848117316</v>
      </c>
      <c r="AC36" s="255">
        <f t="shared" si="3"/>
        <v>0.13900000000000001</v>
      </c>
      <c r="AD36" s="242">
        <f t="shared" si="4"/>
        <v>1</v>
      </c>
      <c r="AE36" s="242">
        <f>IF(Inversion!Q32&lt;&gt;0,1,IF(Inversion!S32&lt;&gt;0,2,IF(Inversion!U32&lt;&gt;0,3,IF(Inversion!W32&lt;&gt;0,4,""))))</f>
        <v>1</v>
      </c>
      <c r="AF36" s="242">
        <f>IF(Inversion!W32&lt;&gt;0,4,IF(Inversion!U32&lt;&gt;0,3,IF(Inversion!S32&lt;&gt;0,2,IF(Inversion!Q32&lt;&gt;0,1,""))))</f>
        <v>2</v>
      </c>
      <c r="AG36" s="242">
        <f t="shared" si="9"/>
        <v>3</v>
      </c>
      <c r="AH36" s="242" t="str">
        <f t="shared" si="10"/>
        <v>Nueva</v>
      </c>
      <c r="AI36" s="254">
        <f t="shared" si="11"/>
        <v>41502000</v>
      </c>
    </row>
    <row r="37" spans="1:36" s="61" customFormat="1" ht="38.25" x14ac:dyDescent="0.2">
      <c r="A37" s="708"/>
      <c r="B37" s="708"/>
      <c r="C37" s="708"/>
      <c r="D37" s="197" t="s">
        <v>1442</v>
      </c>
      <c r="E37" s="110" t="s">
        <v>1418</v>
      </c>
      <c r="F37" s="118"/>
      <c r="G37" s="119"/>
      <c r="H37" s="117" t="str">
        <f>IFERROR(VLOOKUP(G37,'Costo UC'!$A$7:$I$465,2,FALSE),"")</f>
        <v/>
      </c>
      <c r="I37" s="117" t="str">
        <f>IFERROR(VLOOKUP(G37,'Costo UC'!$A$7:$I$465,7,FALSE),"")</f>
        <v/>
      </c>
      <c r="J37" s="117" t="str">
        <f>IFERROR(VLOOKUP(G37,'Costo UC'!$A$7:$I$465,8,FALSE),"")</f>
        <v/>
      </c>
      <c r="K37" s="120" t="str">
        <f>IFERROR(VLOOKUP(G37,'Costo UC'!$A$7:$I$465,3,FALSE),"")</f>
        <v/>
      </c>
      <c r="L37" s="120" t="str">
        <f>IFERROR(VLOOKUP(G37,'Costo UC'!$A$7:$I$465,4,FALSE),"")</f>
        <v/>
      </c>
      <c r="M37" s="120" t="str">
        <f>IFERROR(VLOOKUP(G37,'Costo UC'!$A$7:$I$465,5,FALSE),"")</f>
        <v/>
      </c>
      <c r="N37" s="120" t="str">
        <f>IFERROR(VLOOKUP(G37,'Costo UC'!$A$7:$I$465,6,FALSE),"")</f>
        <v/>
      </c>
      <c r="O37" s="121">
        <f>IFERROR(IF(VLOOKUP(G37,'Costo UC'!$A$7:$I$465,9,FALSE)="TRANSFORMADORES",L37+M37*F37,IF(VLOOKUP(G37,'Costo UC'!$A$7:$I$465,9,FALSE)="EQUIPOS DE COMPENSACION",L37+N37*F37,K37*F37)),0)</f>
        <v>0</v>
      </c>
      <c r="P37" s="252">
        <f>Inversion!D33</f>
        <v>3</v>
      </c>
      <c r="Q37" s="253" t="str">
        <f>Inversion!B33</f>
        <v>N2EQ12</v>
      </c>
      <c r="R37" s="242" t="str">
        <f>IFERROR(VLOOKUP(Q37,'Costo UC'!$A$7:$I$465,2,FALSE),"")</f>
        <v>JUEGO DE CORTACIRCUITOS MONOFÁSICOS N2</v>
      </c>
      <c r="S37" s="242">
        <f>IFERROR(VLOOKUP(Q37,'Costo UC'!$A$7:$I$465,7,FALSE),"")</f>
        <v>30</v>
      </c>
      <c r="T37" s="242">
        <f>IFERROR(VLOOKUP(Q37,'Costo UC'!$A$7:$I$465,8,FALSE),"")</f>
        <v>2</v>
      </c>
      <c r="U37" s="254">
        <f>IFERROR(VLOOKUP(Q37,'Costo UC'!$A$7:$I$465,3,FALSE),"")</f>
        <v>443000</v>
      </c>
      <c r="V37" s="254">
        <f>IFERROR(VLOOKUP(Q37,'Costo UC'!$A$7:$I$465,4,FALSE),"")</f>
        <v>0</v>
      </c>
      <c r="W37" s="254">
        <f>IFERROR(VLOOKUP(Q37,'Costo UC'!$A$7:$I$465,5,FALSE),"")</f>
        <v>0</v>
      </c>
      <c r="X37" s="254">
        <f>IFERROR(VLOOKUP(Q37,'Costo UC'!$A$7:$I$465,6,FALSE),"")</f>
        <v>0</v>
      </c>
      <c r="Y37" s="254">
        <f>IFERROR(IF(VLOOKUP(Q37,'Costo UC'!$A$7:$I$465,9,FALSE)="TRANSFORMADORES",V37+W37*P37,IF(VLOOKUP(Q37,'Costo UC'!$A$7:$I$465,9,FALSE)="EQUIPOS DE COMPENSACION",V37+X37*P37,U37*P37)),0)</f>
        <v>1329000</v>
      </c>
      <c r="Z37" s="254">
        <f t="shared" si="7"/>
        <v>1329000</v>
      </c>
      <c r="AA37" s="255"/>
      <c r="AB37" s="256">
        <f t="shared" si="8"/>
        <v>188529.99510420684</v>
      </c>
      <c r="AC37" s="255">
        <f t="shared" si="3"/>
        <v>0.13900000000000001</v>
      </c>
      <c r="AD37" s="242">
        <f t="shared" si="4"/>
        <v>1</v>
      </c>
      <c r="AE37" s="242">
        <f>IF(Inversion!Q33&lt;&gt;0,1,IF(Inversion!S33&lt;&gt;0,2,IF(Inversion!U33&lt;&gt;0,3,IF(Inversion!W33&lt;&gt;0,4,""))))</f>
        <v>1</v>
      </c>
      <c r="AF37" s="242">
        <f>IF(Inversion!W33&lt;&gt;0,4,IF(Inversion!U33&lt;&gt;0,3,IF(Inversion!S33&lt;&gt;0,2,IF(Inversion!Q33&lt;&gt;0,1,""))))</f>
        <v>2</v>
      </c>
      <c r="AG37" s="242">
        <f t="shared" si="9"/>
        <v>3</v>
      </c>
      <c r="AH37" s="242" t="str">
        <f t="shared" si="10"/>
        <v>Nueva</v>
      </c>
      <c r="AI37" s="254">
        <f t="shared" si="11"/>
        <v>1329000</v>
      </c>
    </row>
    <row r="38" spans="1:36" s="61" customFormat="1" ht="38.25" x14ac:dyDescent="0.2">
      <c r="A38" s="708"/>
      <c r="B38" s="708"/>
      <c r="C38" s="708"/>
      <c r="D38" s="197" t="s">
        <v>1443</v>
      </c>
      <c r="E38" s="110" t="s">
        <v>1417</v>
      </c>
      <c r="F38" s="118"/>
      <c r="G38" s="119"/>
      <c r="H38" s="117" t="str">
        <f>IFERROR(VLOOKUP(G38,'Costo UC'!$A$7:$I$465,2,FALSE),"")</f>
        <v/>
      </c>
      <c r="I38" s="117" t="str">
        <f>IFERROR(VLOOKUP(G38,'Costo UC'!$A$7:$I$465,7,FALSE),"")</f>
        <v/>
      </c>
      <c r="J38" s="117" t="str">
        <f>IFERROR(VLOOKUP(G38,'Costo UC'!$A$7:$I$465,8,FALSE),"")</f>
        <v/>
      </c>
      <c r="K38" s="120" t="str">
        <f>IFERROR(VLOOKUP(G38,'Costo UC'!$A$7:$I$465,3,FALSE),"")</f>
        <v/>
      </c>
      <c r="L38" s="120" t="str">
        <f>IFERROR(VLOOKUP(G38,'Costo UC'!$A$7:$I$465,4,FALSE),"")</f>
        <v/>
      </c>
      <c r="M38" s="120" t="str">
        <f>IFERROR(VLOOKUP(G38,'Costo UC'!$A$7:$I$465,5,FALSE),"")</f>
        <v/>
      </c>
      <c r="N38" s="120" t="str">
        <f>IFERROR(VLOOKUP(G38,'Costo UC'!$A$7:$I$465,6,FALSE),"")</f>
        <v/>
      </c>
      <c r="O38" s="121">
        <f>IFERROR(IF(VLOOKUP(G38,'Costo UC'!$A$7:$I$465,9,FALSE)="TRANSFORMADORES",L38+M38*F38,IF(VLOOKUP(G38,'Costo UC'!$A$7:$I$465,9,FALSE)="EQUIPOS DE COMPENSACION",L38+N38*F38,K38*F38)),0)</f>
        <v>0</v>
      </c>
      <c r="P38" s="252">
        <f>Inversion!D34</f>
        <v>4</v>
      </c>
      <c r="Q38" s="253" t="str">
        <f>Inversion!B34</f>
        <v>N2EQ5</v>
      </c>
      <c r="R38" s="242" t="str">
        <f>IFERROR(VLOOKUP(Q38,'Costo UC'!$A$7:$I$465,2,FALSE),"")</f>
        <v>BANCO DE CONDENSADORES MONTAJE EN POSTE 300KVAR</v>
      </c>
      <c r="S38" s="242">
        <f>IFERROR(VLOOKUP(Q38,'Costo UC'!$A$7:$I$465,7,FALSE),"")</f>
        <v>30</v>
      </c>
      <c r="T38" s="242">
        <f>IFERROR(VLOOKUP(Q38,'Costo UC'!$A$7:$I$465,8,FALSE),"")</f>
        <v>2</v>
      </c>
      <c r="U38" s="254">
        <f>IFERROR(VLOOKUP(Q38,'Costo UC'!$A$7:$I$465,3,FALSE),"")</f>
        <v>13834000</v>
      </c>
      <c r="V38" s="254">
        <f>IFERROR(VLOOKUP(Q38,'Costo UC'!$A$7:$I$465,4,FALSE),"")</f>
        <v>0</v>
      </c>
      <c r="W38" s="254">
        <f>IFERROR(VLOOKUP(Q38,'Costo UC'!$A$7:$I$465,5,FALSE),"")</f>
        <v>0</v>
      </c>
      <c r="X38" s="254">
        <f>IFERROR(VLOOKUP(Q38,'Costo UC'!$A$7:$I$465,6,FALSE),"")</f>
        <v>0</v>
      </c>
      <c r="Y38" s="254">
        <f>IFERROR(IF(VLOOKUP(Q38,'Costo UC'!$A$7:$I$465,9,FALSE)="TRANSFORMADORES",V38+W38*P38,IF(VLOOKUP(Q38,'Costo UC'!$A$7:$I$465,9,FALSE)="EQUIPOS DE COMPENSACION",V38+X38*P38,U38*P38)),0)</f>
        <v>55336000</v>
      </c>
      <c r="Z38" s="254">
        <f t="shared" si="7"/>
        <v>55336000</v>
      </c>
      <c r="AA38" s="255"/>
      <c r="AB38" s="256">
        <f t="shared" si="8"/>
        <v>7849883.9797489755</v>
      </c>
      <c r="AC38" s="255">
        <f t="shared" si="3"/>
        <v>0.13900000000000001</v>
      </c>
      <c r="AD38" s="242">
        <f t="shared" si="4"/>
        <v>1</v>
      </c>
      <c r="AE38" s="242">
        <f>IF(Inversion!Q34&lt;&gt;0,1,IF(Inversion!S34&lt;&gt;0,2,IF(Inversion!U34&lt;&gt;0,3,IF(Inversion!W34&lt;&gt;0,4,""))))</f>
        <v>1</v>
      </c>
      <c r="AF38" s="242">
        <f>IF(Inversion!W34&lt;&gt;0,4,IF(Inversion!U34&lt;&gt;0,3,IF(Inversion!S34&lt;&gt;0,2,IF(Inversion!Q34&lt;&gt;0,1,""))))</f>
        <v>2</v>
      </c>
      <c r="AG38" s="242">
        <f t="shared" si="9"/>
        <v>3</v>
      </c>
      <c r="AH38" s="242" t="str">
        <f t="shared" si="10"/>
        <v>Nueva</v>
      </c>
      <c r="AI38" s="254">
        <f t="shared" si="11"/>
        <v>55336000</v>
      </c>
    </row>
    <row r="39" spans="1:36" s="61" customFormat="1" ht="38.25" x14ac:dyDescent="0.2">
      <c r="A39" s="708"/>
      <c r="B39" s="708"/>
      <c r="C39" s="708"/>
      <c r="D39" s="197" t="s">
        <v>1444</v>
      </c>
      <c r="E39" s="110" t="s">
        <v>1419</v>
      </c>
      <c r="F39" s="118"/>
      <c r="G39" s="119"/>
      <c r="H39" s="117" t="str">
        <f>IFERROR(VLOOKUP(G39,'Costo UC'!$A$7:$I$465,2,FALSE),"")</f>
        <v/>
      </c>
      <c r="I39" s="117" t="str">
        <f>IFERROR(VLOOKUP(G39,'Costo UC'!$A$7:$I$465,7,FALSE),"")</f>
        <v/>
      </c>
      <c r="J39" s="117" t="str">
        <f>IFERROR(VLOOKUP(G39,'Costo UC'!$A$7:$I$465,8,FALSE),"")</f>
        <v/>
      </c>
      <c r="K39" s="120" t="str">
        <f>IFERROR(VLOOKUP(G39,'Costo UC'!$A$7:$I$465,3,FALSE),"")</f>
        <v/>
      </c>
      <c r="L39" s="120" t="str">
        <f>IFERROR(VLOOKUP(G39,'Costo UC'!$A$7:$I$465,4,FALSE),"")</f>
        <v/>
      </c>
      <c r="M39" s="120" t="str">
        <f>IFERROR(VLOOKUP(G39,'Costo UC'!$A$7:$I$465,5,FALSE),"")</f>
        <v/>
      </c>
      <c r="N39" s="120" t="str">
        <f>IFERROR(VLOOKUP(G39,'Costo UC'!$A$7:$I$465,6,FALSE),"")</f>
        <v/>
      </c>
      <c r="O39" s="121">
        <f>IFERROR(IF(VLOOKUP(G39,'Costo UC'!$A$7:$I$465,9,FALSE)="TRANSFORMADORES",L39+M39*F39,IF(VLOOKUP(G39,'Costo UC'!$A$7:$I$465,9,FALSE)="EQUIPOS DE COMPENSACION",L39+N39*F39,K39*F39)),0)</f>
        <v>0</v>
      </c>
      <c r="P39" s="252">
        <f>Inversion!D35</f>
        <v>4</v>
      </c>
      <c r="Q39" s="253" t="str">
        <f>Inversion!B35</f>
        <v>N2EQ12</v>
      </c>
      <c r="R39" s="242" t="str">
        <f>IFERROR(VLOOKUP(Q39,'Costo UC'!$A$7:$I$465,2,FALSE),"")</f>
        <v>JUEGO DE CORTACIRCUITOS MONOFÁSICOS N2</v>
      </c>
      <c r="S39" s="242">
        <f>IFERROR(VLOOKUP(Q39,'Costo UC'!$A$7:$I$465,7,FALSE),"")</f>
        <v>30</v>
      </c>
      <c r="T39" s="242">
        <f>IFERROR(VLOOKUP(Q39,'Costo UC'!$A$7:$I$465,8,FALSE),"")</f>
        <v>2</v>
      </c>
      <c r="U39" s="254">
        <f>IFERROR(VLOOKUP(Q39,'Costo UC'!$A$7:$I$465,3,FALSE),"")</f>
        <v>443000</v>
      </c>
      <c r="V39" s="254">
        <f>IFERROR(VLOOKUP(Q39,'Costo UC'!$A$7:$I$465,4,FALSE),"")</f>
        <v>0</v>
      </c>
      <c r="W39" s="254">
        <f>IFERROR(VLOOKUP(Q39,'Costo UC'!$A$7:$I$465,5,FALSE),"")</f>
        <v>0</v>
      </c>
      <c r="X39" s="254">
        <f>IFERROR(VLOOKUP(Q39,'Costo UC'!$A$7:$I$465,6,FALSE),"")</f>
        <v>0</v>
      </c>
      <c r="Y39" s="254">
        <f>IFERROR(IF(VLOOKUP(Q39,'Costo UC'!$A$7:$I$465,9,FALSE)="TRANSFORMADORES",V39+W39*P39,IF(VLOOKUP(Q39,'Costo UC'!$A$7:$I$465,9,FALSE)="EQUIPOS DE COMPENSACION",V39+X39*P39,U39*P39)),0)</f>
        <v>1772000</v>
      </c>
      <c r="Z39" s="254">
        <f t="shared" si="7"/>
        <v>1772000</v>
      </c>
      <c r="AA39" s="255"/>
      <c r="AB39" s="256">
        <f t="shared" si="8"/>
        <v>251373.32680560907</v>
      </c>
      <c r="AC39" s="255">
        <f t="shared" si="3"/>
        <v>0.13900000000000001</v>
      </c>
      <c r="AD39" s="242">
        <f t="shared" si="4"/>
        <v>1</v>
      </c>
      <c r="AE39" s="242">
        <f>IF(Inversion!Q35&lt;&gt;0,1,IF(Inversion!S35&lt;&gt;0,2,IF(Inversion!U35&lt;&gt;0,3,IF(Inversion!W35&lt;&gt;0,4,""))))</f>
        <v>1</v>
      </c>
      <c r="AF39" s="242">
        <f>IF(Inversion!W35&lt;&gt;0,4,IF(Inversion!U35&lt;&gt;0,3,IF(Inversion!S35&lt;&gt;0,2,IF(Inversion!Q35&lt;&gt;0,1,""))))</f>
        <v>2</v>
      </c>
      <c r="AG39" s="242">
        <f t="shared" si="9"/>
        <v>3</v>
      </c>
      <c r="AH39" s="242" t="str">
        <f t="shared" si="10"/>
        <v>Nueva</v>
      </c>
      <c r="AI39" s="254">
        <f t="shared" si="11"/>
        <v>1772000</v>
      </c>
    </row>
    <row r="40" spans="1:36" s="61" customFormat="1" ht="51" x14ac:dyDescent="0.2">
      <c r="A40" s="708"/>
      <c r="B40" s="708"/>
      <c r="C40" s="708"/>
      <c r="D40" s="197" t="s">
        <v>1454</v>
      </c>
      <c r="E40" s="110" t="s">
        <v>1464</v>
      </c>
      <c r="F40" s="118">
        <v>40</v>
      </c>
      <c r="G40" s="119" t="s">
        <v>872</v>
      </c>
      <c r="H40" s="117" t="str">
        <f>IFERROR(VLOOKUP(G40,'Costo UC'!$A$7:$I$465,2,FALSE),"")</f>
        <v>TRANSFORMADOR TRIFÁSICO (OLTC) - LADO DE ALTA EN EL NIVEL 4 - CAPACIDAD FINAL DE 31 A 40 MVA</v>
      </c>
      <c r="I40" s="117">
        <f>IFERROR(VLOOKUP(G40,'Costo UC'!$A$7:$I$465,7,FALSE),"")</f>
        <v>30</v>
      </c>
      <c r="J40" s="117">
        <f>IFERROR(VLOOKUP(G40,'Costo UC'!$A$7:$I$465,8,FALSE),"")</f>
        <v>4</v>
      </c>
      <c r="K40" s="120">
        <f>IFERROR(VLOOKUP(G40,'Costo UC'!$A$7:$I$465,3,FALSE),"")</f>
        <v>0</v>
      </c>
      <c r="L40" s="120">
        <f>IFERROR(VLOOKUP(G40,'Costo UC'!$A$7:$I$465,4,FALSE),"")</f>
        <v>247740000</v>
      </c>
      <c r="M40" s="120">
        <f>IFERROR(VLOOKUP(G40,'Costo UC'!$A$7:$I$465,5,FALSE),"")</f>
        <v>42513000</v>
      </c>
      <c r="N40" s="120">
        <f>IFERROR(VLOOKUP(G40,'Costo UC'!$A$7:$I$465,6,FALSE),"")</f>
        <v>0</v>
      </c>
      <c r="O40" s="121">
        <f>IFERROR(IF(VLOOKUP(G40,'Costo UC'!$A$7:$I$465,9,FALSE)="TRANSFORMADORES",L40+M40*F40,IF(VLOOKUP(G40,'Costo UC'!$A$7:$I$465,9,FALSE)="EQUIPOS DE COMPENSACION",L40+N40*F40,K40*F40)),0)</f>
        <v>1948260000</v>
      </c>
      <c r="P40" s="252">
        <f>Inversion!D36</f>
        <v>60</v>
      </c>
      <c r="Q40" s="253" t="str">
        <f>Inversion!B36</f>
        <v>N4T8</v>
      </c>
      <c r="R40" s="242" t="str">
        <f>IFERROR(VLOOKUP(Q40,'Costo UC'!$A$7:$I$465,2,FALSE),"")</f>
        <v>TRANSFORMADOR TRIFÁSICO (OLTC) - LADO DE ALTA EN EL NIVEL 4 - CAPACIDAD FINAL DE 51 A 60 MVA</v>
      </c>
      <c r="S40" s="242">
        <f>IFERROR(VLOOKUP(Q40,'Costo UC'!$A$7:$I$465,7,FALSE),"")</f>
        <v>30</v>
      </c>
      <c r="T40" s="242">
        <f>IFERROR(VLOOKUP(Q40,'Costo UC'!$A$7:$I$465,8,FALSE),"")</f>
        <v>4</v>
      </c>
      <c r="U40" s="254">
        <f>IFERROR(VLOOKUP(Q40,'Costo UC'!$A$7:$I$465,3,FALSE),"")</f>
        <v>0</v>
      </c>
      <c r="V40" s="254">
        <f>IFERROR(VLOOKUP(Q40,'Costo UC'!$A$7:$I$465,4,FALSE),"")</f>
        <v>273655000</v>
      </c>
      <c r="W40" s="254">
        <f>IFERROR(VLOOKUP(Q40,'Costo UC'!$A$7:$I$465,5,FALSE),"")</f>
        <v>32950000</v>
      </c>
      <c r="X40" s="254">
        <f>IFERROR(VLOOKUP(Q40,'Costo UC'!$A$7:$I$465,6,FALSE),"")</f>
        <v>0</v>
      </c>
      <c r="Y40" s="254">
        <f>IFERROR(IF(VLOOKUP(Q40,'Costo UC'!$A$7:$I$465,9,FALSE)="TRANSFORMADORES",V40+W40*P40,IF(VLOOKUP(Q40,'Costo UC'!$A$7:$I$465,9,FALSE)="EQUIPOS DE COMPENSACION",V40+X40*P40,U40*P40)),0)</f>
        <v>2250655000</v>
      </c>
      <c r="Z40" s="254">
        <f t="shared" si="7"/>
        <v>2250655000</v>
      </c>
      <c r="AA40" s="255"/>
      <c r="AB40" s="256">
        <f t="shared" si="8"/>
        <v>40342713.606965162</v>
      </c>
      <c r="AC40" s="255">
        <f t="shared" si="3"/>
        <v>0.13</v>
      </c>
      <c r="AD40" s="242">
        <f t="shared" si="4"/>
        <v>1</v>
      </c>
      <c r="AE40" s="242">
        <f>IF(Inversion!Q36&lt;&gt;0,1,IF(Inversion!S36&lt;&gt;0,2,IF(Inversion!U36&lt;&gt;0,3,IF(Inversion!W36&lt;&gt;0,4,""))))</f>
        <v>1</v>
      </c>
      <c r="AF40" s="242">
        <f>IF(Inversion!W36&lt;&gt;0,4,IF(Inversion!U36&lt;&gt;0,3,IF(Inversion!S36&lt;&gt;0,2,IF(Inversion!Q36&lt;&gt;0,1,""))))</f>
        <v>2</v>
      </c>
      <c r="AG40" s="242">
        <f t="shared" si="9"/>
        <v>3</v>
      </c>
      <c r="AH40" s="242" t="str">
        <f t="shared" si="10"/>
        <v>Reposicion</v>
      </c>
      <c r="AI40" s="254">
        <f t="shared" si="11"/>
        <v>0</v>
      </c>
    </row>
    <row r="41" spans="1:36" s="61" customFormat="1" ht="25.5" x14ac:dyDescent="0.2">
      <c r="A41" s="708"/>
      <c r="B41" s="708"/>
      <c r="C41" s="708"/>
      <c r="D41" s="197" t="s">
        <v>1465</v>
      </c>
      <c r="E41" s="110" t="s">
        <v>1469</v>
      </c>
      <c r="F41" s="118"/>
      <c r="G41" s="119"/>
      <c r="H41" s="117"/>
      <c r="I41" s="117" t="str">
        <f>IFERROR(VLOOKUP(G41,'Costo UC'!$A$7:$I$465,7,FALSE),"")</f>
        <v/>
      </c>
      <c r="J41" s="117" t="str">
        <f>IFERROR(VLOOKUP(G41,'Costo UC'!$A$7:$I$465,8,FALSE),"")</f>
        <v/>
      </c>
      <c r="K41" s="120" t="str">
        <f>IFERROR(VLOOKUP(G41,'Costo UC'!$A$7:$I$465,3,FALSE),"")</f>
        <v/>
      </c>
      <c r="L41" s="120" t="str">
        <f>IFERROR(VLOOKUP(G41,'Costo UC'!$A$7:$I$465,4,FALSE),"")</f>
        <v/>
      </c>
      <c r="M41" s="120" t="str">
        <f>IFERROR(VLOOKUP(G41,'Costo UC'!$A$7:$I$465,5,FALSE),"")</f>
        <v/>
      </c>
      <c r="N41" s="120" t="str">
        <f>IFERROR(VLOOKUP(G41,'Costo UC'!$A$7:$I$465,6,FALSE),"")</f>
        <v/>
      </c>
      <c r="O41" s="121">
        <f>IFERROR(IF(VLOOKUP(G41,'Costo UC'!$A$7:$I$465,9,FALSE)="TRANSFORMADORES",L41+M41*F41,IF(VLOOKUP(G41,'Costo UC'!$A$7:$I$465,9,FALSE)="EQUIPOS DE COMPENSACION",L41+N41*F41,K41*F41)),0)</f>
        <v>0</v>
      </c>
      <c r="P41" s="252">
        <f>Inversion!D37</f>
        <v>1</v>
      </c>
      <c r="Q41" s="253" t="str">
        <f>Inversion!B37</f>
        <v>N3S1</v>
      </c>
      <c r="R41" s="242" t="str">
        <f>IFERROR(VLOOKUP(Q41,'Costo UC'!$A$7:$I$465,2,FALSE),"")</f>
        <v>BAHÍA DE LÍNEA - CONFIGURACIÓN BARRA SENCILLA -TIPO CONVENCIONAL</v>
      </c>
      <c r="S41" s="242">
        <f>IFERROR(VLOOKUP(Q41,'Costo UC'!$A$7:$I$465,7,FALSE),"")</f>
        <v>30</v>
      </c>
      <c r="T41" s="242">
        <f>IFERROR(VLOOKUP(Q41,'Costo UC'!$A$7:$I$465,8,FALSE),"")</f>
        <v>3</v>
      </c>
      <c r="U41" s="254">
        <f>IFERROR(VLOOKUP(Q41,'Costo UC'!$A$7:$I$465,3,FALSE),"")</f>
        <v>330511000</v>
      </c>
      <c r="V41" s="254">
        <f>IFERROR(VLOOKUP(Q41,'Costo UC'!$A$7:$I$465,4,FALSE),"")</f>
        <v>0</v>
      </c>
      <c r="W41" s="254">
        <f>IFERROR(VLOOKUP(Q41,'Costo UC'!$A$7:$I$465,5,FALSE),"")</f>
        <v>0</v>
      </c>
      <c r="X41" s="254">
        <f>IFERROR(VLOOKUP(Q41,'Costo UC'!$A$7:$I$465,6,FALSE),"")</f>
        <v>0</v>
      </c>
      <c r="Y41" s="254">
        <f>IFERROR(IF(VLOOKUP(Q41,'Costo UC'!$A$7:$I$465,9,FALSE)="TRANSFORMADORES",V41+W41*P41,IF(VLOOKUP(Q41,'Costo UC'!$A$7:$I$465,9,FALSE)="EQUIPOS DE COMPENSACION",V41+X41*P41,U41*P41)),0)</f>
        <v>330511000</v>
      </c>
      <c r="Z41" s="254">
        <f t="shared" si="7"/>
        <v>330511000</v>
      </c>
      <c r="AA41" s="255"/>
      <c r="AB41" s="256">
        <f t="shared" si="8"/>
        <v>46885806.780952968</v>
      </c>
      <c r="AC41" s="255">
        <f t="shared" si="3"/>
        <v>0.13900000000000001</v>
      </c>
      <c r="AD41" s="242">
        <f t="shared" si="4"/>
        <v>1</v>
      </c>
      <c r="AE41" s="242">
        <f>IF(Inversion!Q37&lt;&gt;0,1,IF(Inversion!S37&lt;&gt;0,2,IF(Inversion!U37&lt;&gt;0,3,IF(Inversion!W37&lt;&gt;0,4,""))))</f>
        <v>1</v>
      </c>
      <c r="AF41" s="242">
        <f>IF(Inversion!W37&lt;&gt;0,4,IF(Inversion!U37&lt;&gt;0,3,IF(Inversion!S37&lt;&gt;0,2,IF(Inversion!Q37&lt;&gt;0,1,""))))</f>
        <v>2</v>
      </c>
      <c r="AG41" s="242">
        <f t="shared" si="9"/>
        <v>3</v>
      </c>
      <c r="AH41" s="242" t="str">
        <f t="shared" si="10"/>
        <v>Nueva</v>
      </c>
      <c r="AI41" s="254">
        <f t="shared" si="11"/>
        <v>330511000</v>
      </c>
    </row>
    <row r="42" spans="1:36" s="61" customFormat="1" ht="51" x14ac:dyDescent="0.2">
      <c r="A42" s="708"/>
      <c r="B42" s="708"/>
      <c r="C42" s="708"/>
      <c r="D42" s="197" t="s">
        <v>1468</v>
      </c>
      <c r="E42" s="110" t="s">
        <v>1466</v>
      </c>
      <c r="F42" s="118">
        <v>15</v>
      </c>
      <c r="G42" s="119" t="s">
        <v>866</v>
      </c>
      <c r="H42" s="117" t="str">
        <f>IFERROR(VLOOKUP(G42,'Costo UC'!$A$7:$I$465,2,FALSE),"")</f>
        <v>TRANSFORMADOR TRIFÁSICO (OLTC) - LADO DE ALTA EN EL NIVEL 4 - CAPACIDAD FINAL DE 11 A 15 MVA</v>
      </c>
      <c r="I42" s="117">
        <f>IFERROR(VLOOKUP(G42,'Costo UC'!$A$7:$I$465,7,FALSE),"")</f>
        <v>30</v>
      </c>
      <c r="J42" s="117">
        <f>IFERROR(VLOOKUP(G42,'Costo UC'!$A$7:$I$465,8,FALSE),"")</f>
        <v>4</v>
      </c>
      <c r="K42" s="120">
        <f>IFERROR(VLOOKUP(G42,'Costo UC'!$A$7:$I$465,3,FALSE),"")</f>
        <v>0</v>
      </c>
      <c r="L42" s="120">
        <f>IFERROR(VLOOKUP(G42,'Costo UC'!$A$7:$I$465,4,FALSE),"")</f>
        <v>172110000</v>
      </c>
      <c r="M42" s="120">
        <f>IFERROR(VLOOKUP(G42,'Costo UC'!$A$7:$I$465,5,FALSE),"")</f>
        <v>64011000</v>
      </c>
      <c r="N42" s="120">
        <f>IFERROR(VLOOKUP(G42,'Costo UC'!$A$7:$I$465,6,FALSE),"")</f>
        <v>0</v>
      </c>
      <c r="O42" s="121">
        <f>IFERROR(IF(VLOOKUP(G42,'Costo UC'!$A$7:$I$465,9,FALSE)="TRANSFORMADORES",L42+M42*F42,IF(VLOOKUP(G42,'Costo UC'!$A$7:$I$465,9,FALSE)="EQUIPOS DE COMPENSACION",L42+N42*F42,K42*F42)),0)</f>
        <v>1132275000</v>
      </c>
      <c r="P42" s="252">
        <v>40</v>
      </c>
      <c r="Q42" s="253" t="s">
        <v>872</v>
      </c>
      <c r="R42" s="242" t="str">
        <f>IFERROR(VLOOKUP(Q42,'Costo UC'!$A$7:$I$465,2,FALSE),"")</f>
        <v>TRANSFORMADOR TRIFÁSICO (OLTC) - LADO DE ALTA EN EL NIVEL 4 - CAPACIDAD FINAL DE 31 A 40 MVA</v>
      </c>
      <c r="S42" s="242">
        <f>IFERROR(VLOOKUP(Q42,'Costo UC'!$A$7:$I$465,7,FALSE),"")</f>
        <v>30</v>
      </c>
      <c r="T42" s="242">
        <f>IFERROR(VLOOKUP(Q42,'Costo UC'!$A$7:$I$465,8,FALSE),"")</f>
        <v>4</v>
      </c>
      <c r="U42" s="254">
        <f>IFERROR(VLOOKUP(Q42,'Costo UC'!$A$7:$I$465,3,FALSE),"")</f>
        <v>0</v>
      </c>
      <c r="V42" s="254">
        <f>IFERROR(VLOOKUP(Q42,'Costo UC'!$A$7:$I$465,4,FALSE),"")</f>
        <v>247740000</v>
      </c>
      <c r="W42" s="254">
        <f>IFERROR(VLOOKUP(Q42,'Costo UC'!$A$7:$I$465,5,FALSE),"")</f>
        <v>42513000</v>
      </c>
      <c r="X42" s="254">
        <f>IFERROR(VLOOKUP(Q42,'Costo UC'!$A$7:$I$465,6,FALSE),"")</f>
        <v>0</v>
      </c>
      <c r="Y42" s="254">
        <f>IFERROR(IF(VLOOKUP(Q42,'Costo UC'!$A$7:$I$465,9,FALSE)="TRANSFORMADORES",V42+W42*P42,IF(VLOOKUP(Q42,'Costo UC'!$A$7:$I$465,9,FALSE)="EQUIPOS DE COMPENSACION",V42+X42*P42,U42*P42)),0)</f>
        <v>1948260000</v>
      </c>
      <c r="Z42" s="254">
        <f>Y42*IF(AA42="",100%,AA42)</f>
        <v>1948260000</v>
      </c>
      <c r="AA42" s="255"/>
      <c r="AB42" s="256">
        <f>IFERROR(-PMT(AC42,S42,Y42-O42),"")</f>
        <v>108861089.51067136</v>
      </c>
      <c r="AC42" s="255">
        <f>IF(Q42=0,0,IF(EXACT(MID(Q42,1,2),"N4"),$C$6,$D$6))</f>
        <v>0.13</v>
      </c>
      <c r="AD42" s="242">
        <f>IF(Q42=0,0,IF(EXACT(MID(Q42,1,2),"N4"),$C$7,$D$7))</f>
        <v>1</v>
      </c>
      <c r="AE42" s="242"/>
      <c r="AF42" s="242"/>
      <c r="AG42" s="242"/>
      <c r="AH42" s="242" t="str">
        <f>IF(AND(O42=0,Y42=0),"NA",IF(O42&lt;&gt;0,"Reposicion","Nueva"))</f>
        <v>Reposicion</v>
      </c>
      <c r="AI42" s="254">
        <f>IF(AH42="",0,IF(AH42="Nueva",Z42,0))</f>
        <v>0</v>
      </c>
    </row>
    <row r="43" spans="1:36" s="61" customFormat="1" hidden="1" x14ac:dyDescent="0.2">
      <c r="A43" s="708"/>
      <c r="B43" s="708"/>
      <c r="C43" s="708"/>
      <c r="D43" s="197"/>
      <c r="E43" s="110"/>
      <c r="F43" s="118"/>
      <c r="G43" s="119"/>
      <c r="H43" s="117" t="str">
        <f>IFERROR(VLOOKUP(G43,'Costo UC'!$A$7:$I$465,2,FALSE),"")</f>
        <v/>
      </c>
      <c r="I43" s="117" t="str">
        <f>IFERROR(VLOOKUP(G43,'Costo UC'!$A$7:$I$465,7,FALSE),"")</f>
        <v/>
      </c>
      <c r="J43" s="117" t="str">
        <f>IFERROR(VLOOKUP(G43,'Costo UC'!$A$7:$I$465,8,FALSE),"")</f>
        <v/>
      </c>
      <c r="K43" s="120" t="str">
        <f>IFERROR(VLOOKUP(G43,'Costo UC'!$A$7:$I$465,3,FALSE),"")</f>
        <v/>
      </c>
      <c r="L43" s="120" t="str">
        <f>IFERROR(VLOOKUP(G43,'Costo UC'!$A$7:$I$465,4,FALSE),"")</f>
        <v/>
      </c>
      <c r="M43" s="120" t="str">
        <f>IFERROR(VLOOKUP(G43,'Costo UC'!$A$7:$I$465,5,FALSE),"")</f>
        <v/>
      </c>
      <c r="N43" s="120" t="str">
        <f>IFERROR(VLOOKUP(G43,'Costo UC'!$A$7:$I$465,6,FALSE),"")</f>
        <v/>
      </c>
      <c r="O43" s="121">
        <f>IFERROR(IF(VLOOKUP(G43,'Costo UC'!$A$7:$I$465,9,FALSE)="TRANSFORMADORES",L43+M43*F43,IF(VLOOKUP(G43,'Costo UC'!$A$7:$I$465,9,FALSE)="EQUIPOS DE COMPENSACION",L43+N43*F43,K43*F43)),0)</f>
        <v>0</v>
      </c>
      <c r="P43" s="250" t="e">
        <f>Inversion!#REF!</f>
        <v>#REF!</v>
      </c>
      <c r="Q43" s="251"/>
      <c r="R43" s="117" t="str">
        <f>IFERROR(VLOOKUP(Q43,'Costo UC'!$A$7:$I$465,2,FALSE),"")</f>
        <v/>
      </c>
      <c r="S43" s="117" t="str">
        <f>IFERROR(VLOOKUP(Q43,'Costo UC'!$A$7:$I$465,7,FALSE),"")</f>
        <v/>
      </c>
      <c r="T43" s="117" t="str">
        <f>IFERROR(VLOOKUP(Q43,'Costo UC'!$A$7:$I$465,8,FALSE),"")</f>
        <v/>
      </c>
      <c r="U43" s="120" t="str">
        <f>IFERROR(VLOOKUP(Q43,'Costo UC'!$A$7:$I$465,3,FALSE),"")</f>
        <v/>
      </c>
      <c r="V43" s="120" t="str">
        <f>IFERROR(VLOOKUP(Q43,'Costo UC'!$A$7:$I$465,4,FALSE),"")</f>
        <v/>
      </c>
      <c r="W43" s="120" t="str">
        <f>IFERROR(VLOOKUP(Q43,'Costo UC'!$A$7:$I$465,5,FALSE),"")</f>
        <v/>
      </c>
      <c r="X43" s="120" t="str">
        <f>IFERROR(VLOOKUP(Q43,'Costo UC'!$A$7:$I$465,6,FALSE),"")</f>
        <v/>
      </c>
      <c r="Y43" s="121">
        <f>IFERROR(IF(VLOOKUP(Q43,'Costo UC'!$A$7:$I$465,9,FALSE)="TRANSFORMADORES",V43+W43*P43,IF(VLOOKUP(Q43,'Costo UC'!$A$7:$I$465,9,FALSE)="EQUIPOS DE COMPENSACION",V43+X43*P43,U43*P43)),0)</f>
        <v>0</v>
      </c>
      <c r="Z43" s="123">
        <f t="shared" si="7"/>
        <v>0</v>
      </c>
      <c r="AA43" s="124"/>
      <c r="AB43" s="125" t="str">
        <f t="shared" si="8"/>
        <v/>
      </c>
      <c r="AC43" s="126">
        <f t="shared" si="3"/>
        <v>0</v>
      </c>
      <c r="AD43" s="127">
        <f t="shared" si="4"/>
        <v>0</v>
      </c>
      <c r="AE43" s="128"/>
      <c r="AF43" s="129"/>
      <c r="AG43" s="129"/>
      <c r="AH43" s="130" t="str">
        <f t="shared" si="10"/>
        <v>NA</v>
      </c>
      <c r="AI43" s="131">
        <f t="shared" si="11"/>
        <v>0</v>
      </c>
    </row>
    <row r="44" spans="1:36" s="61" customFormat="1" hidden="1" x14ac:dyDescent="0.2">
      <c r="A44" s="708"/>
      <c r="B44" s="708"/>
      <c r="C44" s="708"/>
      <c r="D44" s="197"/>
      <c r="E44" s="110"/>
      <c r="F44" s="118"/>
      <c r="G44" s="119"/>
      <c r="H44" s="117" t="str">
        <f>IFERROR(VLOOKUP(G44,'Costo UC'!$A$7:$I$465,2,FALSE),"")</f>
        <v/>
      </c>
      <c r="I44" s="117" t="str">
        <f>IFERROR(VLOOKUP(G44,'Costo UC'!$A$7:$I$465,7,FALSE),"")</f>
        <v/>
      </c>
      <c r="J44" s="117" t="str">
        <f>IFERROR(VLOOKUP(G44,'Costo UC'!$A$7:$I$465,8,FALSE),"")</f>
        <v/>
      </c>
      <c r="K44" s="120" t="str">
        <f>IFERROR(VLOOKUP(G44,'Costo UC'!$A$7:$I$465,3,FALSE),"")</f>
        <v/>
      </c>
      <c r="L44" s="120" t="str">
        <f>IFERROR(VLOOKUP(G44,'Costo UC'!$A$7:$I$465,4,FALSE),"")</f>
        <v/>
      </c>
      <c r="M44" s="120" t="str">
        <f>IFERROR(VLOOKUP(G44,'Costo UC'!$A$7:$I$465,5,FALSE),"")</f>
        <v/>
      </c>
      <c r="N44" s="120" t="str">
        <f>IFERROR(VLOOKUP(G44,'Costo UC'!$A$7:$I$465,6,FALSE),"")</f>
        <v/>
      </c>
      <c r="O44" s="121">
        <f>IFERROR(IF(VLOOKUP(G44,'Costo UC'!$A$7:$I$465,9,FALSE)="TRANSFORMADORES",L44+M44*F44,IF(VLOOKUP(G44,'Costo UC'!$A$7:$I$465,9,FALSE)="EQUIPOS DE COMPENSACION",L44+N44*F44,K44*F44)),0)</f>
        <v>0</v>
      </c>
      <c r="P44" s="216" t="e">
        <f>Inversion!#REF!</f>
        <v>#REF!</v>
      </c>
      <c r="Q44" s="122"/>
      <c r="R44" s="117" t="str">
        <f>IFERROR(VLOOKUP(Q44,'Costo UC'!$A$7:$I$465,2,FALSE),"")</f>
        <v/>
      </c>
      <c r="S44" s="117" t="str">
        <f>IFERROR(VLOOKUP(Q44,'Costo UC'!$A$7:$I$465,7,FALSE),"")</f>
        <v/>
      </c>
      <c r="T44" s="117" t="str">
        <f>IFERROR(VLOOKUP(Q44,'Costo UC'!$A$7:$I$465,8,FALSE),"")</f>
        <v/>
      </c>
      <c r="U44" s="120" t="str">
        <f>IFERROR(VLOOKUP(Q44,'Costo UC'!$A$7:$I$465,3,FALSE),"")</f>
        <v/>
      </c>
      <c r="V44" s="120" t="str">
        <f>IFERROR(VLOOKUP(Q44,'Costo UC'!$A$7:$I$465,4,FALSE),"")</f>
        <v/>
      </c>
      <c r="W44" s="120" t="str">
        <f>IFERROR(VLOOKUP(Q44,'Costo UC'!$A$7:$I$465,5,FALSE),"")</f>
        <v/>
      </c>
      <c r="X44" s="120" t="str">
        <f>IFERROR(VLOOKUP(Q44,'Costo UC'!$A$7:$I$465,6,FALSE),"")</f>
        <v/>
      </c>
      <c r="Y44" s="121">
        <f>IFERROR(IF(VLOOKUP(Q44,'Costo UC'!$A$7:$I$465,9,FALSE)="TRANSFORMADORES",V44+W44*P44,IF(VLOOKUP(Q44,'Costo UC'!$A$7:$I$465,9,FALSE)="EQUIPOS DE COMPENSACION",V44+X44*P44,U44*P44)),0)</f>
        <v>0</v>
      </c>
      <c r="Z44" s="123">
        <f t="shared" si="7"/>
        <v>0</v>
      </c>
      <c r="AA44" s="124"/>
      <c r="AB44" s="125" t="str">
        <f t="shared" si="8"/>
        <v/>
      </c>
      <c r="AC44" s="126">
        <f t="shared" si="3"/>
        <v>0</v>
      </c>
      <c r="AD44" s="127">
        <f t="shared" si="4"/>
        <v>0</v>
      </c>
      <c r="AE44" s="128"/>
      <c r="AF44" s="129"/>
      <c r="AG44" s="129"/>
      <c r="AH44" s="130" t="str">
        <f t="shared" si="10"/>
        <v>NA</v>
      </c>
      <c r="AI44" s="131">
        <f t="shared" si="11"/>
        <v>0</v>
      </c>
    </row>
    <row r="45" spans="1:36" s="61" customFormat="1" hidden="1" x14ac:dyDescent="0.2">
      <c r="A45" s="709"/>
      <c r="B45" s="709"/>
      <c r="C45" s="709"/>
      <c r="D45" s="197"/>
      <c r="E45" s="110"/>
      <c r="F45" s="118"/>
      <c r="G45" s="119"/>
      <c r="H45" s="117" t="str">
        <f>IFERROR(VLOOKUP(G45,'Costo UC'!$A$7:$I$465,2,FALSE),"")</f>
        <v/>
      </c>
      <c r="I45" s="117" t="str">
        <f>IFERROR(VLOOKUP(G45,'Costo UC'!$A$7:$I$465,7,FALSE),"")</f>
        <v/>
      </c>
      <c r="J45" s="117" t="str">
        <f>IFERROR(VLOOKUP(G45,'Costo UC'!$A$7:$I$465,8,FALSE),"")</f>
        <v/>
      </c>
      <c r="K45" s="120" t="str">
        <f>IFERROR(VLOOKUP(G45,'Costo UC'!$A$7:$I$465,3,FALSE),"")</f>
        <v/>
      </c>
      <c r="L45" s="120" t="str">
        <f>IFERROR(VLOOKUP(G45,'Costo UC'!$A$7:$I$465,4,FALSE),"")</f>
        <v/>
      </c>
      <c r="M45" s="120" t="str">
        <f>IFERROR(VLOOKUP(G45,'Costo UC'!$A$7:$I$465,5,FALSE),"")</f>
        <v/>
      </c>
      <c r="N45" s="120" t="str">
        <f>IFERROR(VLOOKUP(G45,'Costo UC'!$A$7:$I$465,6,FALSE),"")</f>
        <v/>
      </c>
      <c r="O45" s="121">
        <f>IFERROR(IF(VLOOKUP(G45,'Costo UC'!$A$7:$I$465,9,FALSE)="TRANSFORMADORES",L45+M45*F45,IF(VLOOKUP(G45,'Costo UC'!$A$7:$I$465,9,FALSE)="EQUIPOS DE COMPENSACION",L45+N45*F45,K45*F45)),0)</f>
        <v>0</v>
      </c>
      <c r="P45" s="216">
        <f>Inversion!D38</f>
        <v>0</v>
      </c>
      <c r="Q45" s="122">
        <f>Inversion!B38</f>
        <v>0</v>
      </c>
      <c r="R45" s="117" t="str">
        <f>IFERROR(VLOOKUP(Q45,'Costo UC'!$A$7:$I$465,2,FALSE),"")</f>
        <v/>
      </c>
      <c r="S45" s="117" t="str">
        <f>IFERROR(VLOOKUP(Q45,'Costo UC'!$A$7:$I$465,7,FALSE),"")</f>
        <v/>
      </c>
      <c r="T45" s="117" t="str">
        <f>IFERROR(VLOOKUP(Q45,'Costo UC'!$A$7:$I$465,8,FALSE),"")</f>
        <v/>
      </c>
      <c r="U45" s="120" t="str">
        <f>IFERROR(VLOOKUP(Q45,'Costo UC'!$A$7:$I$465,3,FALSE),"")</f>
        <v/>
      </c>
      <c r="V45" s="120" t="str">
        <f>IFERROR(VLOOKUP(Q45,'Costo UC'!$A$7:$I$465,4,FALSE),"")</f>
        <v/>
      </c>
      <c r="W45" s="120" t="str">
        <f>IFERROR(VLOOKUP(Q45,'Costo UC'!$A$7:$I$465,5,FALSE),"")</f>
        <v/>
      </c>
      <c r="X45" s="120" t="str">
        <f>IFERROR(VLOOKUP(Q45,'Costo UC'!$A$7:$I$465,6,FALSE),"")</f>
        <v/>
      </c>
      <c r="Y45" s="121">
        <f>IFERROR(IF(VLOOKUP(Q45,'Costo UC'!$A$7:$I$465,9,FALSE)="TRANSFORMADORES",V45+W45*P45,IF(VLOOKUP(Q45,'Costo UC'!$A$7:$I$465,9,FALSE)="EQUIPOS DE COMPENSACION",V45+X45*P45,U45*P45)),0)</f>
        <v>0</v>
      </c>
      <c r="Z45" s="123">
        <f t="shared" si="7"/>
        <v>0</v>
      </c>
      <c r="AA45" s="124"/>
      <c r="AB45" s="125" t="str">
        <f t="shared" si="8"/>
        <v/>
      </c>
      <c r="AC45" s="126">
        <f t="shared" si="3"/>
        <v>0</v>
      </c>
      <c r="AD45" s="127">
        <f t="shared" si="4"/>
        <v>0</v>
      </c>
      <c r="AE45" s="128" t="str">
        <f>IF(Inversion!Q38&lt;&gt;0,1,IF(Inversion!S38&lt;&gt;0,2,IF(Inversion!U38&lt;&gt;0,3,IF(Inversion!W38&lt;&gt;0,4,""))))</f>
        <v/>
      </c>
      <c r="AF45" s="129" t="str">
        <f>IF(Inversion!W38&lt;&gt;0,4,IF(Inversion!U38&lt;&gt;0,3,IF(Inversion!S38&lt;&gt;0,2,IF(Inversion!Q38&lt;&gt;0,1,""))))</f>
        <v/>
      </c>
      <c r="AG45" s="129" t="str">
        <f t="shared" si="9"/>
        <v/>
      </c>
      <c r="AH45" s="130" t="str">
        <f t="shared" si="10"/>
        <v>NA</v>
      </c>
      <c r="AI45" s="131">
        <f t="shared" si="11"/>
        <v>0</v>
      </c>
    </row>
    <row r="46" spans="1:36" x14ac:dyDescent="0.2">
      <c r="A46" s="133"/>
      <c r="B46" s="134"/>
      <c r="C46" s="134"/>
    </row>
    <row r="47" spans="1:36" x14ac:dyDescent="0.2">
      <c r="A47" s="64" t="s">
        <v>980</v>
      </c>
      <c r="B47" s="65"/>
      <c r="C47" s="65"/>
      <c r="D47" s="198"/>
      <c r="E47" s="65"/>
      <c r="F47" s="68"/>
      <c r="G47" s="68"/>
      <c r="H47" s="68"/>
      <c r="I47" s="69"/>
      <c r="J47" s="69"/>
      <c r="K47" s="68"/>
      <c r="L47" s="68"/>
      <c r="M47" s="68"/>
      <c r="N47" s="68"/>
      <c r="O47" s="70"/>
      <c r="P47" s="259"/>
      <c r="Q47" s="14" t="s">
        <v>1474</v>
      </c>
      <c r="R47" s="14"/>
      <c r="S47" s="260"/>
      <c r="T47" s="260"/>
      <c r="U47" s="14"/>
      <c r="V47" s="14"/>
      <c r="W47" s="14"/>
      <c r="X47" s="14"/>
      <c r="Y47" s="14"/>
      <c r="Z47" s="261">
        <f>SUM(Z15:Z45)</f>
        <v>13528509000</v>
      </c>
      <c r="AA47" s="261"/>
      <c r="AB47" s="261">
        <f>SUM(AB15:AB45)</f>
        <v>1131179076.1028817</v>
      </c>
      <c r="AC47" s="261"/>
      <c r="AD47" s="262">
        <f>MAX(AD15:AD45)</f>
        <v>1</v>
      </c>
      <c r="AE47" s="262">
        <f>MIN(AE15:AE45)</f>
        <v>1</v>
      </c>
      <c r="AF47" s="262">
        <f>MAX(AF15:AF45)</f>
        <v>2</v>
      </c>
      <c r="AG47" s="262">
        <f>MAX(AG15:AG45)</f>
        <v>3</v>
      </c>
      <c r="AH47" s="262"/>
      <c r="AI47" s="263">
        <f>SUM(AI15:AI45)</f>
        <v>6651594000</v>
      </c>
      <c r="AJ47" s="14"/>
    </row>
    <row r="48" spans="1:36" x14ac:dyDescent="0.2">
      <c r="Q48" s="14"/>
      <c r="R48" s="14"/>
      <c r="S48" s="14"/>
      <c r="T48" s="14"/>
      <c r="U48" s="14"/>
      <c r="V48" s="14"/>
      <c r="W48" s="14"/>
      <c r="X48" s="14"/>
      <c r="Y48" s="14"/>
      <c r="Z48" s="264"/>
      <c r="AA48" s="264"/>
      <c r="AB48" s="264"/>
      <c r="AC48" s="264"/>
      <c r="AD48" s="264"/>
      <c r="AE48" s="264"/>
      <c r="AF48" s="264"/>
      <c r="AG48" s="264"/>
      <c r="AH48" s="264"/>
      <c r="AI48" s="263"/>
      <c r="AJ48" s="14"/>
    </row>
    <row r="49" spans="1:36" x14ac:dyDescent="0.2">
      <c r="A49" s="72" t="s">
        <v>1018</v>
      </c>
      <c r="B49" s="73"/>
      <c r="C49" s="73"/>
      <c r="D49" s="199"/>
      <c r="E49" s="73"/>
      <c r="F49" s="68"/>
      <c r="G49" s="68"/>
      <c r="H49" s="68"/>
      <c r="I49" s="69"/>
      <c r="J49" s="69"/>
      <c r="K49" s="68"/>
      <c r="L49" s="68"/>
      <c r="M49" s="68"/>
      <c r="N49" s="68"/>
      <c r="O49" s="74"/>
      <c r="P49" s="259"/>
      <c r="Q49" s="14" t="s">
        <v>1473</v>
      </c>
      <c r="R49" s="14"/>
      <c r="S49" s="260"/>
      <c r="T49" s="260"/>
      <c r="U49" s="14"/>
      <c r="V49" s="14"/>
      <c r="W49" s="14"/>
      <c r="X49" s="14"/>
      <c r="Y49" s="14"/>
      <c r="Z49" s="261">
        <f>Z47*Evaluación!$B$58/Evaluación!$B$57</f>
        <v>15659245827.787104</v>
      </c>
      <c r="AA49" s="261"/>
      <c r="AB49" s="261">
        <f>AB47*Evaluación!$B$58/Evaluación!$B$57</f>
        <v>1309339501.34077</v>
      </c>
      <c r="AC49" s="261"/>
      <c r="AD49" s="262">
        <f>AD47</f>
        <v>1</v>
      </c>
      <c r="AE49" s="262">
        <f>AE47</f>
        <v>1</v>
      </c>
      <c r="AF49" s="262">
        <f>AF47</f>
        <v>2</v>
      </c>
      <c r="AG49" s="262">
        <f>AG47</f>
        <v>3</v>
      </c>
      <c r="AH49" s="262"/>
      <c r="AI49" s="263">
        <f>AI47*Evaluación!$B$58/Evaluación!$B$57</f>
        <v>7699218412.9554663</v>
      </c>
      <c r="AJ49" s="14"/>
    </row>
    <row r="50" spans="1:36" x14ac:dyDescent="0.2">
      <c r="Q50" s="14"/>
      <c r="R50" s="14"/>
      <c r="S50" s="260"/>
      <c r="T50" s="260"/>
      <c r="U50" s="14"/>
      <c r="V50" s="14"/>
      <c r="W50" s="14"/>
      <c r="X50" s="14"/>
      <c r="Y50" s="14"/>
      <c r="Z50" s="14"/>
      <c r="AA50" s="14"/>
      <c r="AB50" s="14"/>
      <c r="AC50" s="14"/>
      <c r="AD50" s="14"/>
      <c r="AE50" s="14"/>
      <c r="AF50" s="14"/>
      <c r="AG50" s="14"/>
      <c r="AH50" s="14"/>
      <c r="AI50" s="14"/>
      <c r="AJ50" s="14"/>
    </row>
    <row r="51" spans="1:36" x14ac:dyDescent="0.2">
      <c r="G51" s="61"/>
      <c r="I51" s="61"/>
      <c r="J51" s="45"/>
      <c r="K51" s="61"/>
      <c r="M51" s="61"/>
      <c r="O51" s="61"/>
      <c r="Q51" s="61"/>
      <c r="S51" s="61"/>
      <c r="T51" s="45"/>
      <c r="U51" s="61"/>
      <c r="W51" s="61"/>
      <c r="Y51" s="61"/>
    </row>
    <row r="52" spans="1:36" ht="15" customHeight="1" x14ac:dyDescent="0.2"/>
    <row r="53" spans="1:36" x14ac:dyDescent="0.2">
      <c r="Z53" s="66"/>
      <c r="AA53" s="66"/>
    </row>
    <row r="56" spans="1:36" x14ac:dyDescent="0.2">
      <c r="C56" s="45"/>
      <c r="D56" s="200"/>
      <c r="E56" s="45"/>
      <c r="F56" s="61"/>
      <c r="H56" s="61"/>
      <c r="I56" s="45"/>
      <c r="J56" s="61"/>
      <c r="L56" s="61"/>
      <c r="N56" s="61"/>
      <c r="P56" s="61"/>
      <c r="R56" s="61"/>
      <c r="S56" s="45"/>
      <c r="T56" s="61"/>
      <c r="V56" s="61"/>
      <c r="X56" s="61"/>
      <c r="Z56" s="61"/>
      <c r="AC56" s="61"/>
      <c r="AE56" s="61"/>
      <c r="AG56" s="61"/>
      <c r="AI56" s="61"/>
    </row>
  </sheetData>
  <mergeCells count="17">
    <mergeCell ref="Z12:AA12"/>
    <mergeCell ref="A10:B10"/>
    <mergeCell ref="A11:B11"/>
    <mergeCell ref="A3:E3"/>
    <mergeCell ref="D13:D14"/>
    <mergeCell ref="C13:C14"/>
    <mergeCell ref="F13:O13"/>
    <mergeCell ref="P13:Y13"/>
    <mergeCell ref="F12:Y12"/>
    <mergeCell ref="A15:A45"/>
    <mergeCell ref="B15:B45"/>
    <mergeCell ref="C15:C45"/>
    <mergeCell ref="AE13:AF13"/>
    <mergeCell ref="AB13:AD13"/>
    <mergeCell ref="B13:B14"/>
    <mergeCell ref="A13:A14"/>
    <mergeCell ref="Z13:AA13"/>
  </mergeCells>
  <pageMargins left="0.7" right="0.7" top="0.75" bottom="0.75" header="0.3" footer="0.3"/>
  <pageSetup paperSize="8" orientation="portrait" horizontalDpi="300" verticalDpi="300" r:id="rId1"/>
  <ignoredErrors>
    <ignoredError sqref="AE47"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49"/>
  <sheetViews>
    <sheetView showGridLines="0" zoomScale="68" zoomScaleNormal="68" workbookViewId="0">
      <selection activeCell="P10" sqref="P10"/>
    </sheetView>
  </sheetViews>
  <sheetFormatPr baseColWidth="10" defaultColWidth="18.5703125" defaultRowHeight="14.25" x14ac:dyDescent="0.2"/>
  <cols>
    <col min="1" max="1" width="39" style="237" customWidth="1"/>
    <col min="2" max="2" width="3.140625" style="237" customWidth="1"/>
    <col min="3" max="3" width="15.5703125" style="237" customWidth="1"/>
    <col min="4" max="11" width="10.7109375" style="237" customWidth="1"/>
    <col min="12" max="16384" width="18.5703125" style="237"/>
  </cols>
  <sheetData>
    <row r="2" spans="1:15" s="236" customFormat="1" ht="12.75" x14ac:dyDescent="0.2">
      <c r="A2" s="276" t="s">
        <v>947</v>
      </c>
      <c r="B2" s="277"/>
      <c r="C2" s="277"/>
      <c r="D2" s="277" t="e">
        <f>'Beneficios Peaje'!#REF!</f>
        <v>#REF!</v>
      </c>
      <c r="E2" s="278"/>
      <c r="H2" s="277"/>
    </row>
    <row r="3" spans="1:15" s="236" customFormat="1" ht="12.75" x14ac:dyDescent="0.2">
      <c r="B3" s="278"/>
      <c r="C3" s="278"/>
      <c r="E3" s="278"/>
    </row>
    <row r="4" spans="1:15" s="236" customFormat="1" ht="12.75" x14ac:dyDescent="0.2">
      <c r="A4" s="725" t="s">
        <v>1380</v>
      </c>
      <c r="B4" s="725"/>
      <c r="C4" s="725"/>
      <c r="D4" s="725"/>
      <c r="E4" s="725"/>
      <c r="H4" s="279"/>
    </row>
    <row r="5" spans="1:15" s="236" customFormat="1" ht="12.75" x14ac:dyDescent="0.2">
      <c r="H5" s="279"/>
    </row>
    <row r="6" spans="1:15" s="236" customFormat="1" ht="12.75" x14ac:dyDescent="0.2">
      <c r="A6" s="236" t="s">
        <v>1391</v>
      </c>
      <c r="H6" s="279"/>
    </row>
    <row r="8" spans="1:15" ht="47.25" customHeight="1" x14ac:dyDescent="0.25">
      <c r="A8" s="728" t="s">
        <v>1375</v>
      </c>
      <c r="B8" s="728"/>
      <c r="C8" s="728" t="s">
        <v>1376</v>
      </c>
      <c r="D8" s="728"/>
      <c r="E8" s="728"/>
      <c r="F8" s="728"/>
      <c r="G8" s="728"/>
      <c r="H8" s="728"/>
      <c r="I8" s="728"/>
      <c r="J8" s="728"/>
      <c r="K8" s="728" t="s">
        <v>1382</v>
      </c>
      <c r="L8" s="728"/>
      <c r="M8" s="728"/>
      <c r="N8" s="728"/>
      <c r="O8" s="728"/>
    </row>
    <row r="9" spans="1:15" ht="85.5" x14ac:dyDescent="0.2">
      <c r="A9" s="270" t="s">
        <v>1298</v>
      </c>
      <c r="B9" s="270" t="s">
        <v>1181</v>
      </c>
      <c r="C9" s="270" t="s">
        <v>1365</v>
      </c>
      <c r="D9" s="270" t="s">
        <v>1361</v>
      </c>
      <c r="E9" s="270" t="s">
        <v>1362</v>
      </c>
      <c r="F9" s="270" t="s">
        <v>1363</v>
      </c>
      <c r="G9" s="270" t="s">
        <v>1364</v>
      </c>
      <c r="H9" s="270" t="s">
        <v>1360</v>
      </c>
      <c r="I9" s="270" t="s">
        <v>1373</v>
      </c>
      <c r="J9" s="270" t="s">
        <v>1374</v>
      </c>
      <c r="K9" s="270" t="s">
        <v>1394</v>
      </c>
      <c r="L9" s="270" t="s">
        <v>1395</v>
      </c>
      <c r="M9" s="270" t="s">
        <v>1396</v>
      </c>
      <c r="N9" s="270" t="s">
        <v>1397</v>
      </c>
      <c r="O9" s="270" t="s">
        <v>1398</v>
      </c>
    </row>
    <row r="10" spans="1:15" ht="228" x14ac:dyDescent="0.2">
      <c r="A10" s="280">
        <v>13101</v>
      </c>
      <c r="B10" s="280" t="s">
        <v>1299</v>
      </c>
      <c r="C10" s="233" t="s">
        <v>1372</v>
      </c>
      <c r="D10" s="281">
        <v>54.2</v>
      </c>
      <c r="E10" s="233">
        <v>3029.26</v>
      </c>
      <c r="F10" s="233">
        <v>1401.71</v>
      </c>
      <c r="G10" s="233">
        <v>3337.84</v>
      </c>
      <c r="H10" s="233">
        <v>5.87</v>
      </c>
      <c r="I10" s="246">
        <f t="shared" ref="I10:I16" si="0">H10/E10</f>
        <v>1.9377669793943075E-3</v>
      </c>
      <c r="J10" s="246" t="str">
        <f t="shared" ref="J10:J16" si="1">IF(I10&lt;=0.25%,"Rango deseado",IF(I10&lt;=0.5%,"Rango tolerable","Nivel no tolerable"))</f>
        <v>Rango deseado</v>
      </c>
      <c r="K10" s="282">
        <f>(D10+D10*2%)^2*($H10*1000/$D10^2)/1000</f>
        <v>6.1071480000000014</v>
      </c>
      <c r="L10" s="282">
        <f>(D10+D10*4%)^2*($H10*1000/$D10^2)/1000</f>
        <v>6.348992</v>
      </c>
      <c r="M10" s="282">
        <f>(D10+D10*6%)^2*($H10*1000/$D10^2)/1000</f>
        <v>6.5955320000000004</v>
      </c>
      <c r="N10" s="282">
        <f>(D10+D10*8%)^2*($H10*1000/$D10^2)/1000</f>
        <v>6.846768</v>
      </c>
      <c r="O10" s="282">
        <f>(D10+D10*10%)^2*($H10*1000/$D10^2)/1000</f>
        <v>7.1027000000000005</v>
      </c>
    </row>
    <row r="11" spans="1:15" ht="213.75" x14ac:dyDescent="0.2">
      <c r="A11" s="280">
        <v>13102</v>
      </c>
      <c r="B11" s="280" t="s">
        <v>1300</v>
      </c>
      <c r="C11" s="233" t="s">
        <v>1371</v>
      </c>
      <c r="D11" s="281">
        <v>166.16</v>
      </c>
      <c r="E11" s="281">
        <v>9105.2800000000007</v>
      </c>
      <c r="F11" s="281">
        <v>4668.28</v>
      </c>
      <c r="G11" s="281">
        <v>10232.25</v>
      </c>
      <c r="H11" s="281">
        <v>55.16</v>
      </c>
      <c r="I11" s="246">
        <f t="shared" si="0"/>
        <v>6.0580234764883662E-3</v>
      </c>
      <c r="J11" s="246" t="str">
        <f t="shared" si="1"/>
        <v>Nivel no tolerable</v>
      </c>
      <c r="K11" s="282">
        <f t="shared" ref="K11:K16" si="2">(D11+D11*2%)^2*($H11*1000/$D11^2)/1000</f>
        <v>57.388464000000006</v>
      </c>
      <c r="L11" s="282">
        <f t="shared" ref="L11:L16" si="3">(D11+D11*4%)^2*($H11*1000/$D11^2)/1000</f>
        <v>59.661056000000002</v>
      </c>
      <c r="M11" s="282">
        <f t="shared" ref="M11:M16" si="4">(D11+D11*6%)^2*($H11*1000/$D11^2)/1000</f>
        <v>61.977775999999984</v>
      </c>
      <c r="N11" s="282">
        <f t="shared" ref="N11:N16" si="5">(D11+D11*8%)^2*($H11*1000/$D11^2)/1000</f>
        <v>64.338623999999996</v>
      </c>
      <c r="O11" s="282">
        <f t="shared" ref="O11:O16" si="6">(D11+D11*10%)^2*($H11*1000/$D11^2)/1000</f>
        <v>66.743600000000001</v>
      </c>
    </row>
    <row r="12" spans="1:15" ht="35.25" customHeight="1" x14ac:dyDescent="0.2">
      <c r="A12" s="280">
        <v>13105</v>
      </c>
      <c r="B12" s="280" t="s">
        <v>1301</v>
      </c>
      <c r="C12" s="233" t="s">
        <v>1370</v>
      </c>
      <c r="D12" s="281">
        <v>77.81</v>
      </c>
      <c r="E12" s="233">
        <v>4298.17</v>
      </c>
      <c r="F12" s="233">
        <v>2041.9</v>
      </c>
      <c r="G12" s="233">
        <v>4758.53</v>
      </c>
      <c r="H12" s="233">
        <v>19.8</v>
      </c>
      <c r="I12" s="246">
        <f t="shared" si="0"/>
        <v>4.6066116510049627E-3</v>
      </c>
      <c r="J12" s="246" t="str">
        <f t="shared" si="1"/>
        <v>Rango tolerable</v>
      </c>
      <c r="K12" s="282">
        <f t="shared" si="2"/>
        <v>20.599920000000001</v>
      </c>
      <c r="L12" s="282">
        <f t="shared" si="3"/>
        <v>21.415679999999998</v>
      </c>
      <c r="M12" s="282">
        <f t="shared" si="4"/>
        <v>22.24728</v>
      </c>
      <c r="N12" s="282">
        <f t="shared" si="5"/>
        <v>23.094720000000002</v>
      </c>
      <c r="O12" s="282">
        <f t="shared" si="6"/>
        <v>23.958000000000002</v>
      </c>
    </row>
    <row r="13" spans="1:15" ht="199.5" x14ac:dyDescent="0.2">
      <c r="A13" s="280">
        <v>14201</v>
      </c>
      <c r="B13" s="280" t="s">
        <v>1302</v>
      </c>
      <c r="C13" s="233" t="s">
        <v>1367</v>
      </c>
      <c r="D13" s="281">
        <v>131.27000000000001</v>
      </c>
      <c r="E13" s="233">
        <v>7166.98</v>
      </c>
      <c r="F13" s="233">
        <v>3514.78</v>
      </c>
      <c r="G13" s="233">
        <v>7982.43</v>
      </c>
      <c r="H13" s="233">
        <v>4.93</v>
      </c>
      <c r="I13" s="246">
        <f t="shared" si="0"/>
        <v>6.8787690212613955E-4</v>
      </c>
      <c r="J13" s="246" t="str">
        <f t="shared" si="1"/>
        <v>Rango deseado</v>
      </c>
      <c r="K13" s="282">
        <f t="shared" si="2"/>
        <v>5.1291719999999996</v>
      </c>
      <c r="L13" s="282">
        <f t="shared" si="3"/>
        <v>5.3322879999999984</v>
      </c>
      <c r="M13" s="282">
        <f t="shared" si="4"/>
        <v>5.5393480000000004</v>
      </c>
      <c r="N13" s="282">
        <f t="shared" si="5"/>
        <v>5.7503519999999986</v>
      </c>
      <c r="O13" s="282">
        <f t="shared" si="6"/>
        <v>5.9652999999999992</v>
      </c>
    </row>
    <row r="14" spans="1:15" ht="32.25" customHeight="1" x14ac:dyDescent="0.2">
      <c r="A14" s="280">
        <v>14202</v>
      </c>
      <c r="B14" s="280" t="s">
        <v>1306</v>
      </c>
      <c r="C14" s="233" t="s">
        <v>1366</v>
      </c>
      <c r="D14" s="233">
        <v>152.9</v>
      </c>
      <c r="E14" s="233">
        <v>8048.78</v>
      </c>
      <c r="F14" s="233">
        <v>4652.1499999999996</v>
      </c>
      <c r="G14" s="233">
        <v>9296.52</v>
      </c>
      <c r="H14" s="233">
        <v>313.06</v>
      </c>
      <c r="I14" s="246">
        <f t="shared" si="0"/>
        <v>3.8895335690626406E-2</v>
      </c>
      <c r="J14" s="246" t="str">
        <f t="shared" si="1"/>
        <v>Nivel no tolerable</v>
      </c>
      <c r="K14" s="282">
        <f t="shared" si="2"/>
        <v>325.70762399999995</v>
      </c>
      <c r="L14" s="282">
        <f t="shared" si="3"/>
        <v>338.60569600000008</v>
      </c>
      <c r="M14" s="282">
        <f t="shared" si="4"/>
        <v>351.75421600000004</v>
      </c>
      <c r="N14" s="282">
        <f t="shared" si="5"/>
        <v>365.15318400000001</v>
      </c>
      <c r="O14" s="282">
        <f t="shared" si="6"/>
        <v>378.80259999999993</v>
      </c>
    </row>
    <row r="15" spans="1:15" ht="228" x14ac:dyDescent="0.2">
      <c r="A15" s="280">
        <v>14203</v>
      </c>
      <c r="B15" s="280" t="s">
        <v>1303</v>
      </c>
      <c r="C15" s="233" t="s">
        <v>1368</v>
      </c>
      <c r="D15" s="233">
        <v>134.6</v>
      </c>
      <c r="E15" s="233">
        <v>7402.61</v>
      </c>
      <c r="F15" s="233">
        <v>3622.46</v>
      </c>
      <c r="G15" s="233">
        <v>8241.41</v>
      </c>
      <c r="H15" s="233">
        <v>2.12</v>
      </c>
      <c r="I15" s="246">
        <f t="shared" si="0"/>
        <v>2.8638547755453824E-4</v>
      </c>
      <c r="J15" s="246" t="str">
        <f t="shared" si="1"/>
        <v>Rango deseado</v>
      </c>
      <c r="K15" s="282">
        <f t="shared" si="2"/>
        <v>2.2056479999999996</v>
      </c>
      <c r="L15" s="282">
        <f t="shared" si="3"/>
        <v>2.2929919999999995</v>
      </c>
      <c r="M15" s="282">
        <f t="shared" si="4"/>
        <v>2.3820319999999997</v>
      </c>
      <c r="N15" s="282">
        <f t="shared" si="5"/>
        <v>2.4727679999999994</v>
      </c>
      <c r="O15" s="282">
        <f t="shared" si="6"/>
        <v>2.5652000000000004</v>
      </c>
    </row>
    <row r="16" spans="1:15" ht="228" x14ac:dyDescent="0.2">
      <c r="A16" s="280">
        <v>14204</v>
      </c>
      <c r="B16" s="280" t="s">
        <v>1307</v>
      </c>
      <c r="C16" s="233" t="s">
        <v>1369</v>
      </c>
      <c r="D16" s="281">
        <v>255.13</v>
      </c>
      <c r="E16" s="233">
        <v>13695.96</v>
      </c>
      <c r="F16" s="233">
        <v>7280.54</v>
      </c>
      <c r="G16" s="233">
        <v>15510.82</v>
      </c>
      <c r="H16" s="233">
        <v>7.62</v>
      </c>
      <c r="I16" s="246">
        <f t="shared" si="0"/>
        <v>5.5636844733775506E-4</v>
      </c>
      <c r="J16" s="246" t="str">
        <f t="shared" si="1"/>
        <v>Rango deseado</v>
      </c>
      <c r="K16" s="282">
        <f t="shared" si="2"/>
        <v>7.9278480000000009</v>
      </c>
      <c r="L16" s="282">
        <f t="shared" si="3"/>
        <v>8.2417920000000002</v>
      </c>
      <c r="M16" s="282">
        <f t="shared" si="4"/>
        <v>8.5618320000000008</v>
      </c>
      <c r="N16" s="282">
        <f t="shared" si="5"/>
        <v>8.887967999999999</v>
      </c>
      <c r="O16" s="282">
        <f t="shared" si="6"/>
        <v>9.2201999999999984</v>
      </c>
    </row>
    <row r="17" spans="1:16" x14ac:dyDescent="0.2">
      <c r="A17" s="274"/>
      <c r="B17" s="274"/>
      <c r="C17" s="274"/>
      <c r="D17" s="274"/>
      <c r="E17" s="274"/>
      <c r="F17" s="274"/>
      <c r="G17" s="274"/>
      <c r="H17" s="274"/>
      <c r="I17" s="274"/>
      <c r="J17" s="274"/>
      <c r="K17" s="274"/>
      <c r="L17" s="274"/>
      <c r="M17" s="274"/>
      <c r="N17" s="274"/>
      <c r="O17" s="274"/>
    </row>
    <row r="18" spans="1:16" ht="15" x14ac:dyDescent="0.25">
      <c r="A18" s="274" t="s">
        <v>8</v>
      </c>
      <c r="B18" s="729" t="s">
        <v>8</v>
      </c>
      <c r="C18" s="729"/>
      <c r="D18" s="729"/>
      <c r="E18" s="729"/>
      <c r="F18" s="729"/>
      <c r="G18" s="730"/>
      <c r="H18" s="283">
        <f>SUM(H10:H16)</f>
        <v>408.56</v>
      </c>
      <c r="I18" s="283"/>
      <c r="J18" s="283"/>
      <c r="K18" s="283">
        <f>SUM(K10:K16)</f>
        <v>425.06582399999996</v>
      </c>
      <c r="L18" s="283">
        <f>SUM(L10:L16)</f>
        <v>441.89849600000008</v>
      </c>
      <c r="M18" s="283">
        <f>SUM(M10:M16)</f>
        <v>459.05801600000001</v>
      </c>
      <c r="N18" s="283">
        <f>SUM(N10:N16)</f>
        <v>476.54438399999998</v>
      </c>
      <c r="O18" s="283">
        <f>SUM(O10:O16)</f>
        <v>494.35759999999993</v>
      </c>
    </row>
    <row r="19" spans="1:16" x14ac:dyDescent="0.2">
      <c r="H19" s="275"/>
      <c r="K19" s="275"/>
    </row>
    <row r="20" spans="1:16" s="236" customFormat="1" x14ac:dyDescent="0.2">
      <c r="A20" s="236" t="s">
        <v>1392</v>
      </c>
      <c r="H20" s="279"/>
      <c r="P20" s="237"/>
    </row>
    <row r="21" spans="1:16" x14ac:dyDescent="0.2">
      <c r="K21" s="275"/>
    </row>
    <row r="22" spans="1:16" s="274" customFormat="1" ht="33.75" customHeight="1" x14ac:dyDescent="0.25">
      <c r="A22" s="728" t="s">
        <v>1375</v>
      </c>
      <c r="B22" s="728"/>
      <c r="C22" s="727" t="s">
        <v>1381</v>
      </c>
      <c r="D22" s="727"/>
      <c r="E22" s="727"/>
      <c r="F22" s="727"/>
      <c r="G22" s="727"/>
      <c r="H22" s="727"/>
      <c r="I22" s="727"/>
      <c r="J22" s="727"/>
      <c r="K22" s="727" t="s">
        <v>1382</v>
      </c>
      <c r="L22" s="727"/>
      <c r="M22" s="727"/>
      <c r="N22" s="727"/>
      <c r="O22" s="727"/>
    </row>
    <row r="23" spans="1:16" ht="57" x14ac:dyDescent="0.2">
      <c r="A23" s="726" t="s">
        <v>1181</v>
      </c>
      <c r="B23" s="726"/>
      <c r="C23" s="270" t="s">
        <v>1365</v>
      </c>
      <c r="D23" s="270" t="s">
        <v>1361</v>
      </c>
      <c r="E23" s="270" t="s">
        <v>1362</v>
      </c>
      <c r="F23" s="270" t="s">
        <v>1363</v>
      </c>
      <c r="G23" s="270" t="s">
        <v>1364</v>
      </c>
      <c r="H23" s="270" t="s">
        <v>1360</v>
      </c>
      <c r="I23" s="270" t="s">
        <v>1373</v>
      </c>
      <c r="J23" s="270" t="s">
        <v>1374</v>
      </c>
      <c r="K23" s="270" t="s">
        <v>1394</v>
      </c>
      <c r="L23" s="270" t="s">
        <v>1395</v>
      </c>
      <c r="M23" s="270" t="s">
        <v>1396</v>
      </c>
      <c r="N23" s="270" t="s">
        <v>1397</v>
      </c>
      <c r="O23" s="270" t="s">
        <v>1398</v>
      </c>
    </row>
    <row r="24" spans="1:16" ht="27.75" hidden="1" customHeight="1" x14ac:dyDescent="0.2">
      <c r="A24" s="299"/>
      <c r="B24" s="300" t="s">
        <v>1383</v>
      </c>
      <c r="C24" s="233" t="s">
        <v>1366</v>
      </c>
      <c r="D24" s="281">
        <v>66.239999999999995</v>
      </c>
      <c r="E24" s="233">
        <v>3894.83</v>
      </c>
      <c r="F24" s="233">
        <v>1015.74</v>
      </c>
      <c r="G24" s="233">
        <v>4025.1</v>
      </c>
      <c r="H24" s="233">
        <v>58.8</v>
      </c>
      <c r="I24" s="246">
        <f t="shared" ref="I24:I34" si="7">H24/E24</f>
        <v>1.5096936194904527E-2</v>
      </c>
      <c r="J24" s="246" t="str">
        <f>IF(I24&lt;=0.25%,"Rango deseado",IF(I24&lt;=0.5%,"Rango tolerable","Nivel no tolerable"))</f>
        <v>Nivel no tolerable</v>
      </c>
      <c r="K24" s="301">
        <f>($O24-$H24)/5+H24</f>
        <v>62.683999999999997</v>
      </c>
      <c r="L24" s="301">
        <f t="shared" ref="L24:N34" si="8">($O24-$H24)/5+K24</f>
        <v>66.567999999999998</v>
      </c>
      <c r="M24" s="301">
        <f t="shared" si="8"/>
        <v>70.451999999999998</v>
      </c>
      <c r="N24" s="301">
        <f t="shared" si="8"/>
        <v>74.335999999999999</v>
      </c>
      <c r="O24" s="301">
        <v>78.22</v>
      </c>
    </row>
    <row r="25" spans="1:16" ht="35.25" hidden="1" customHeight="1" x14ac:dyDescent="0.2">
      <c r="A25" s="299"/>
      <c r="B25" s="300" t="s">
        <v>1384</v>
      </c>
      <c r="C25" s="233" t="s">
        <v>1366</v>
      </c>
      <c r="D25" s="281">
        <v>66.239999999999995</v>
      </c>
      <c r="E25" s="281">
        <v>3894.83</v>
      </c>
      <c r="F25" s="281">
        <v>1015.74</v>
      </c>
      <c r="G25" s="281">
        <v>4025.1</v>
      </c>
      <c r="H25" s="281">
        <v>58.8</v>
      </c>
      <c r="I25" s="246">
        <f t="shared" si="7"/>
        <v>1.5096936194904527E-2</v>
      </c>
      <c r="J25" s="246" t="str">
        <f t="shared" ref="J25:J34" si="9">IF(I25&lt;=0.25%,"Rango deseado",IF(I25&lt;=0.5%,"Rango tolerable","Nivel no tolerable"))</f>
        <v>Nivel no tolerable</v>
      </c>
      <c r="K25" s="301">
        <f t="shared" ref="K25:K34" si="10">($O25-$H25)/5+H25</f>
        <v>62.683999999999997</v>
      </c>
      <c r="L25" s="301">
        <f t="shared" si="8"/>
        <v>66.567999999999998</v>
      </c>
      <c r="M25" s="301">
        <f t="shared" si="8"/>
        <v>70.451999999999998</v>
      </c>
      <c r="N25" s="301">
        <f t="shared" si="8"/>
        <v>74.335999999999999</v>
      </c>
      <c r="O25" s="301">
        <v>78.22</v>
      </c>
    </row>
    <row r="26" spans="1:16" ht="28.5" hidden="1" customHeight="1" x14ac:dyDescent="0.2">
      <c r="A26" s="299"/>
      <c r="B26" s="300" t="s">
        <v>1385</v>
      </c>
      <c r="C26" s="233" t="s">
        <v>1386</v>
      </c>
      <c r="D26" s="281">
        <v>93.89</v>
      </c>
      <c r="E26" s="281">
        <v>5131.63</v>
      </c>
      <c r="F26" s="281">
        <v>2493.5500000000002</v>
      </c>
      <c r="G26" s="281">
        <v>5705.38</v>
      </c>
      <c r="H26" s="281">
        <v>2.52</v>
      </c>
      <c r="I26" s="246">
        <f t="shared" si="7"/>
        <v>4.9107203753972909E-4</v>
      </c>
      <c r="J26" s="246" t="str">
        <f t="shared" si="9"/>
        <v>Rango deseado</v>
      </c>
      <c r="K26" s="301">
        <f t="shared" si="10"/>
        <v>2.6440000000000001</v>
      </c>
      <c r="L26" s="301">
        <f t="shared" si="8"/>
        <v>2.7680000000000002</v>
      </c>
      <c r="M26" s="301">
        <f t="shared" si="8"/>
        <v>2.8920000000000003</v>
      </c>
      <c r="N26" s="301">
        <f t="shared" si="8"/>
        <v>3.0160000000000005</v>
      </c>
      <c r="O26" s="301">
        <v>3.14</v>
      </c>
    </row>
    <row r="27" spans="1:16" ht="24" hidden="1" customHeight="1" x14ac:dyDescent="0.2">
      <c r="A27" s="299"/>
      <c r="B27" s="300" t="s">
        <v>1387</v>
      </c>
      <c r="C27" s="233" t="s">
        <v>1132</v>
      </c>
      <c r="D27" s="281">
        <v>52.92</v>
      </c>
      <c r="E27" s="281">
        <v>2897.1</v>
      </c>
      <c r="F27" s="281">
        <v>1394.55</v>
      </c>
      <c r="G27" s="281">
        <v>3215.27</v>
      </c>
      <c r="H27" s="281">
        <v>0.33</v>
      </c>
      <c r="I27" s="246">
        <f t="shared" si="7"/>
        <v>1.1390701045873461E-4</v>
      </c>
      <c r="J27" s="246" t="str">
        <f t="shared" si="9"/>
        <v>Rango deseado</v>
      </c>
      <c r="K27" s="301">
        <f t="shared" si="10"/>
        <v>0.34600000000000003</v>
      </c>
      <c r="L27" s="301">
        <f t="shared" si="8"/>
        <v>0.36200000000000004</v>
      </c>
      <c r="M27" s="301">
        <f t="shared" si="8"/>
        <v>0.37800000000000006</v>
      </c>
      <c r="N27" s="301">
        <f t="shared" si="8"/>
        <v>0.39400000000000007</v>
      </c>
      <c r="O27" s="301">
        <v>0.41</v>
      </c>
    </row>
    <row r="28" spans="1:16" ht="51" hidden="1" x14ac:dyDescent="0.2">
      <c r="A28" s="299"/>
      <c r="B28" s="300" t="s">
        <v>1388</v>
      </c>
      <c r="C28" s="233" t="s">
        <v>1445</v>
      </c>
      <c r="D28" s="281">
        <v>174.86</v>
      </c>
      <c r="E28" s="281">
        <v>10063.33</v>
      </c>
      <c r="F28" s="281">
        <v>3406.54</v>
      </c>
      <c r="G28" s="281">
        <v>10624.27</v>
      </c>
      <c r="H28" s="281">
        <v>3.58</v>
      </c>
      <c r="I28" s="246">
        <f t="shared" si="7"/>
        <v>3.5574705390760316E-4</v>
      </c>
      <c r="J28" s="246" t="str">
        <f t="shared" si="9"/>
        <v>Rango deseado</v>
      </c>
      <c r="K28" s="301">
        <f t="shared" si="10"/>
        <v>3.8220000000000001</v>
      </c>
      <c r="L28" s="301">
        <f t="shared" si="8"/>
        <v>4.0640000000000001</v>
      </c>
      <c r="M28" s="301">
        <f t="shared" si="8"/>
        <v>4.306</v>
      </c>
      <c r="N28" s="301">
        <f t="shared" si="8"/>
        <v>4.548</v>
      </c>
      <c r="O28" s="301">
        <v>4.79</v>
      </c>
    </row>
    <row r="29" spans="1:16" ht="27.75" hidden="1" customHeight="1" x14ac:dyDescent="0.2">
      <c r="A29" s="299"/>
      <c r="B29" s="300" t="s">
        <v>1446</v>
      </c>
      <c r="C29" s="233" t="s">
        <v>1447</v>
      </c>
      <c r="D29" s="281">
        <v>161.5</v>
      </c>
      <c r="E29" s="281">
        <v>9361.0499999999993</v>
      </c>
      <c r="F29" s="281">
        <v>2945.62</v>
      </c>
      <c r="G29" s="281">
        <v>9813.5499999999993</v>
      </c>
      <c r="H29" s="281">
        <v>105.88</v>
      </c>
      <c r="I29" s="246">
        <f t="shared" si="7"/>
        <v>1.1310696983778529E-2</v>
      </c>
      <c r="J29" s="246" t="str">
        <f t="shared" si="9"/>
        <v>Nivel no tolerable</v>
      </c>
      <c r="K29" s="301">
        <f t="shared" si="10"/>
        <v>112.75</v>
      </c>
      <c r="L29" s="301">
        <f t="shared" si="8"/>
        <v>119.62</v>
      </c>
      <c r="M29" s="301">
        <f t="shared" si="8"/>
        <v>126.49000000000001</v>
      </c>
      <c r="N29" s="301">
        <f t="shared" si="8"/>
        <v>133.36000000000001</v>
      </c>
      <c r="O29" s="301">
        <v>140.22999999999999</v>
      </c>
    </row>
    <row r="30" spans="1:16" ht="36" hidden="1" customHeight="1" x14ac:dyDescent="0.2">
      <c r="A30" s="299"/>
      <c r="B30" s="300" t="s">
        <v>1448</v>
      </c>
      <c r="C30" s="233" t="s">
        <v>1447</v>
      </c>
      <c r="D30" s="281">
        <v>28.07</v>
      </c>
      <c r="E30" s="281">
        <v>102.94</v>
      </c>
      <c r="F30" s="281">
        <v>1676.78</v>
      </c>
      <c r="G30" s="281">
        <v>1679.94</v>
      </c>
      <c r="H30" s="281">
        <v>1.67</v>
      </c>
      <c r="I30" s="246">
        <f t="shared" si="7"/>
        <v>1.6223042549057702E-2</v>
      </c>
      <c r="J30" s="246" t="str">
        <f t="shared" si="9"/>
        <v>Nivel no tolerable</v>
      </c>
      <c r="K30" s="301">
        <f t="shared" si="10"/>
        <v>1.6819999999999999</v>
      </c>
      <c r="L30" s="301">
        <f t="shared" si="8"/>
        <v>1.694</v>
      </c>
      <c r="M30" s="301">
        <f t="shared" si="8"/>
        <v>1.706</v>
      </c>
      <c r="N30" s="301">
        <f t="shared" si="8"/>
        <v>1.718</v>
      </c>
      <c r="O30" s="301">
        <v>1.73</v>
      </c>
    </row>
    <row r="31" spans="1:16" ht="36" hidden="1" customHeight="1" x14ac:dyDescent="0.2">
      <c r="A31" s="299"/>
      <c r="B31" s="300" t="s">
        <v>1449</v>
      </c>
      <c r="C31" s="233" t="s">
        <v>1447</v>
      </c>
      <c r="D31" s="281">
        <v>32.880000000000003</v>
      </c>
      <c r="E31" s="281">
        <v>14.01</v>
      </c>
      <c r="F31" s="281">
        <v>2006.27</v>
      </c>
      <c r="G31" s="281">
        <v>2006.32</v>
      </c>
      <c r="H31" s="281">
        <v>20.87</v>
      </c>
      <c r="I31" s="246">
        <f t="shared" si="7"/>
        <v>1.489650249821556</v>
      </c>
      <c r="J31" s="246" t="str">
        <f t="shared" si="9"/>
        <v>Nivel no tolerable</v>
      </c>
      <c r="K31" s="301">
        <f t="shared" si="10"/>
        <v>21.028000000000002</v>
      </c>
      <c r="L31" s="301">
        <f t="shared" si="8"/>
        <v>21.186000000000003</v>
      </c>
      <c r="M31" s="301">
        <f t="shared" si="8"/>
        <v>21.344000000000005</v>
      </c>
      <c r="N31" s="301">
        <f t="shared" si="8"/>
        <v>21.502000000000006</v>
      </c>
      <c r="O31" s="301">
        <v>21.66</v>
      </c>
    </row>
    <row r="32" spans="1:16" ht="25.5" hidden="1" x14ac:dyDescent="0.2">
      <c r="A32" s="299"/>
      <c r="B32" s="300" t="s">
        <v>1389</v>
      </c>
      <c r="C32" s="233" t="s">
        <v>1102</v>
      </c>
      <c r="D32" s="281">
        <v>78.540000000000006</v>
      </c>
      <c r="E32" s="281">
        <v>4298.21</v>
      </c>
      <c r="F32" s="281">
        <v>2042.8</v>
      </c>
      <c r="G32" s="281">
        <v>4758.96</v>
      </c>
      <c r="H32" s="281">
        <v>20.18</v>
      </c>
      <c r="I32" s="246">
        <f t="shared" si="7"/>
        <v>4.6949776767538113E-3</v>
      </c>
      <c r="J32" s="246" t="str">
        <f t="shared" si="9"/>
        <v>Rango tolerable</v>
      </c>
      <c r="K32" s="301">
        <f t="shared" si="10"/>
        <v>21.222000000000001</v>
      </c>
      <c r="L32" s="301">
        <f t="shared" si="8"/>
        <v>22.264000000000003</v>
      </c>
      <c r="M32" s="301">
        <f t="shared" si="8"/>
        <v>23.306000000000004</v>
      </c>
      <c r="N32" s="301">
        <f t="shared" si="8"/>
        <v>24.348000000000006</v>
      </c>
      <c r="O32" s="301">
        <v>25.39</v>
      </c>
    </row>
    <row r="33" spans="1:15" ht="51" hidden="1" x14ac:dyDescent="0.2">
      <c r="A33" s="299"/>
      <c r="B33" s="300" t="s">
        <v>1390</v>
      </c>
      <c r="C33" s="233" t="s">
        <v>1450</v>
      </c>
      <c r="D33" s="281">
        <v>66.099999999999994</v>
      </c>
      <c r="E33" s="281">
        <v>3661.38</v>
      </c>
      <c r="F33" s="281">
        <v>1692.76</v>
      </c>
      <c r="G33" s="281">
        <v>4033.75</v>
      </c>
      <c r="H33" s="281">
        <v>8.74</v>
      </c>
      <c r="I33" s="246">
        <f t="shared" si="7"/>
        <v>2.3870780962369381E-3</v>
      </c>
      <c r="J33" s="246" t="str">
        <f t="shared" si="9"/>
        <v>Rango deseado</v>
      </c>
      <c r="K33" s="301">
        <f t="shared" si="10"/>
        <v>9.1959999999999997</v>
      </c>
      <c r="L33" s="301">
        <f t="shared" si="8"/>
        <v>9.6519999999999992</v>
      </c>
      <c r="M33" s="301">
        <f t="shared" si="8"/>
        <v>10.107999999999999</v>
      </c>
      <c r="N33" s="301">
        <f t="shared" si="8"/>
        <v>10.563999999999998</v>
      </c>
      <c r="O33" s="301">
        <v>11.02</v>
      </c>
    </row>
    <row r="34" spans="1:15" ht="76.5" hidden="1" x14ac:dyDescent="0.2">
      <c r="A34" s="299"/>
      <c r="B34" s="300" t="s">
        <v>1451</v>
      </c>
      <c r="C34" s="233" t="s">
        <v>1452</v>
      </c>
      <c r="D34" s="281">
        <v>167.48</v>
      </c>
      <c r="E34" s="281">
        <v>9073.83</v>
      </c>
      <c r="F34" s="281">
        <v>4702</v>
      </c>
      <c r="G34" s="281">
        <v>10219.74</v>
      </c>
      <c r="H34" s="281">
        <v>44.83</v>
      </c>
      <c r="I34" s="246">
        <f t="shared" si="7"/>
        <v>4.9405818711613508E-3</v>
      </c>
      <c r="J34" s="246" t="str">
        <f t="shared" si="9"/>
        <v>Rango tolerable</v>
      </c>
      <c r="K34" s="301">
        <f t="shared" si="10"/>
        <v>48.921999999999997</v>
      </c>
      <c r="L34" s="301">
        <f t="shared" si="8"/>
        <v>53.013999999999996</v>
      </c>
      <c r="M34" s="301">
        <f t="shared" si="8"/>
        <v>57.105999999999995</v>
      </c>
      <c r="N34" s="301">
        <f t="shared" si="8"/>
        <v>61.197999999999993</v>
      </c>
      <c r="O34" s="301">
        <v>65.290000000000006</v>
      </c>
    </row>
    <row r="35" spans="1:15" hidden="1" x14ac:dyDescent="0.2">
      <c r="A35" s="296"/>
      <c r="B35" s="297"/>
      <c r="C35" s="286"/>
      <c r="D35" s="287"/>
      <c r="E35" s="287"/>
      <c r="F35" s="287"/>
      <c r="G35" s="287"/>
      <c r="H35" s="287"/>
      <c r="I35" s="288"/>
      <c r="J35" s="298"/>
      <c r="K35" s="289"/>
      <c r="L35" s="289"/>
      <c r="M35" s="289"/>
      <c r="N35" s="289"/>
      <c r="O35" s="289"/>
    </row>
    <row r="36" spans="1:15" hidden="1" x14ac:dyDescent="0.2">
      <c r="A36" s="284"/>
      <c r="B36" s="285"/>
      <c r="C36" s="290"/>
      <c r="D36" s="291"/>
      <c r="E36" s="291"/>
      <c r="F36" s="291"/>
      <c r="G36" s="291"/>
      <c r="H36" s="291"/>
      <c r="I36" s="292"/>
      <c r="J36" s="293"/>
      <c r="K36" s="289"/>
      <c r="L36" s="289"/>
      <c r="M36" s="289"/>
      <c r="N36" s="289"/>
      <c r="O36" s="289"/>
    </row>
    <row r="37" spans="1:15" hidden="1" x14ac:dyDescent="0.2">
      <c r="A37" s="284"/>
      <c r="B37" s="285"/>
      <c r="C37" s="290"/>
      <c r="D37" s="291"/>
      <c r="E37" s="291"/>
      <c r="F37" s="291"/>
      <c r="G37" s="291"/>
      <c r="H37" s="291"/>
      <c r="I37" s="292"/>
      <c r="J37" s="293"/>
      <c r="K37" s="289"/>
      <c r="L37" s="289"/>
      <c r="M37" s="289"/>
      <c r="N37" s="289"/>
      <c r="O37" s="289"/>
    </row>
    <row r="38" spans="1:15" hidden="1" x14ac:dyDescent="0.2">
      <c r="A38" s="284"/>
      <c r="B38" s="285"/>
      <c r="C38" s="290"/>
      <c r="D38" s="291"/>
      <c r="E38" s="291"/>
      <c r="F38" s="291"/>
      <c r="G38" s="291"/>
      <c r="H38" s="291"/>
      <c r="I38" s="292"/>
      <c r="J38" s="293"/>
      <c r="K38" s="289"/>
      <c r="L38" s="289"/>
      <c r="M38" s="289"/>
      <c r="N38" s="289"/>
      <c r="O38" s="289"/>
    </row>
    <row r="39" spans="1:15" hidden="1" x14ac:dyDescent="0.2"/>
    <row r="40" spans="1:15" hidden="1" x14ac:dyDescent="0.2">
      <c r="C40" s="294"/>
    </row>
    <row r="41" spans="1:15" hidden="1" x14ac:dyDescent="0.2"/>
    <row r="42" spans="1:15" ht="15" hidden="1" x14ac:dyDescent="0.25">
      <c r="A42" s="237" t="s">
        <v>8</v>
      </c>
      <c r="B42" s="721" t="s">
        <v>1476</v>
      </c>
      <c r="C42" s="721"/>
      <c r="D42" s="721"/>
      <c r="E42" s="721"/>
      <c r="F42" s="721"/>
      <c r="G42" s="722"/>
      <c r="H42" s="295">
        <f>SUM(H24:H38)</f>
        <v>326.19999999999993</v>
      </c>
      <c r="I42" s="295"/>
      <c r="J42" s="295"/>
      <c r="K42" s="295">
        <f>SUM(K24:K38)</f>
        <v>346.98</v>
      </c>
      <c r="L42" s="295">
        <f>SUM(L24:L38)</f>
        <v>367.76</v>
      </c>
      <c r="M42" s="295">
        <f>SUM(M24:M38)</f>
        <v>388.54</v>
      </c>
      <c r="N42" s="295">
        <f>SUM(N24:N38)</f>
        <v>409.32000000000005</v>
      </c>
      <c r="O42" s="295">
        <f>SUM(O24:O38)</f>
        <v>430.1</v>
      </c>
    </row>
    <row r="43" spans="1:15" ht="15" x14ac:dyDescent="0.25">
      <c r="H43" s="238"/>
      <c r="I43" s="238"/>
      <c r="J43" s="238"/>
      <c r="K43" s="238"/>
      <c r="L43" s="238"/>
      <c r="M43" s="238"/>
      <c r="N43" s="238"/>
      <c r="O43" s="238"/>
    </row>
    <row r="44" spans="1:15" ht="33" customHeight="1" x14ac:dyDescent="0.2">
      <c r="A44" s="302" t="s">
        <v>1424</v>
      </c>
      <c r="B44" s="723" t="s">
        <v>1475</v>
      </c>
      <c r="C44" s="723"/>
      <c r="D44" s="723"/>
      <c r="E44" s="723"/>
      <c r="F44" s="723"/>
      <c r="G44" s="724"/>
      <c r="H44" s="303">
        <f>H18-H42</f>
        <v>82.36000000000007</v>
      </c>
      <c r="I44" s="303"/>
      <c r="J44" s="303"/>
      <c r="K44" s="303">
        <f>K18-K42</f>
        <v>78.085823999999945</v>
      </c>
      <c r="L44" s="303">
        <f>L18-L42</f>
        <v>74.138496000000089</v>
      </c>
      <c r="M44" s="303">
        <f>M18-M42</f>
        <v>70.518015999999989</v>
      </c>
      <c r="N44" s="303">
        <f>N18-N42</f>
        <v>67.22438399999993</v>
      </c>
      <c r="O44" s="303">
        <f>O18-O42</f>
        <v>64.257599999999911</v>
      </c>
    </row>
    <row r="45" spans="1:15" x14ac:dyDescent="0.2">
      <c r="A45" s="304"/>
      <c r="B45" s="305"/>
      <c r="C45" s="305"/>
      <c r="D45" s="305"/>
      <c r="E45" s="305"/>
      <c r="F45" s="305"/>
      <c r="G45" s="305"/>
      <c r="H45" s="305"/>
      <c r="I45" s="305"/>
      <c r="J45" s="305"/>
      <c r="K45" s="305"/>
      <c r="L45" s="305"/>
      <c r="M45" s="305"/>
      <c r="N45" s="305"/>
      <c r="O45" s="305"/>
    </row>
    <row r="46" spans="1:15" ht="15" x14ac:dyDescent="0.2">
      <c r="A46" s="306" t="s">
        <v>1421</v>
      </c>
      <c r="B46" s="307"/>
      <c r="C46" s="308">
        <f>AVERAGE('Demandas 34,5kV'!I3:I100)</f>
        <v>0.47443162089945112</v>
      </c>
      <c r="D46" s="305"/>
      <c r="E46" s="305"/>
      <c r="F46" s="305"/>
      <c r="G46" s="305"/>
      <c r="H46" s="305"/>
      <c r="I46" s="305"/>
      <c r="J46" s="305"/>
      <c r="K46" s="305"/>
      <c r="L46" s="305"/>
      <c r="M46" s="305"/>
      <c r="N46" s="305"/>
      <c r="O46" s="305"/>
    </row>
    <row r="47" spans="1:15" ht="15" x14ac:dyDescent="0.2">
      <c r="A47" s="306" t="s">
        <v>1422</v>
      </c>
      <c r="B47" s="307"/>
      <c r="C47" s="308">
        <f>C46*0.15+0.85*C46^2</f>
        <v>0.26248730160780609</v>
      </c>
      <c r="D47" s="305"/>
      <c r="E47" s="305"/>
      <c r="F47" s="305"/>
      <c r="G47" s="305"/>
      <c r="H47" s="305"/>
      <c r="I47" s="305"/>
      <c r="J47" s="305"/>
      <c r="K47" s="305"/>
      <c r="L47" s="305"/>
      <c r="M47" s="305"/>
      <c r="N47" s="305"/>
      <c r="O47" s="305"/>
    </row>
    <row r="48" spans="1:15" x14ac:dyDescent="0.2">
      <c r="A48" s="304"/>
      <c r="B48" s="305"/>
      <c r="C48" s="305"/>
      <c r="D48" s="305"/>
      <c r="E48" s="305"/>
      <c r="F48" s="305"/>
      <c r="G48" s="305"/>
      <c r="H48" s="305"/>
      <c r="I48" s="305"/>
      <c r="J48" s="305"/>
      <c r="K48" s="305"/>
      <c r="L48" s="305"/>
      <c r="M48" s="305"/>
      <c r="N48" s="305"/>
      <c r="O48" s="305"/>
    </row>
    <row r="49" spans="1:15" ht="62.25" customHeight="1" x14ac:dyDescent="0.2">
      <c r="A49" s="302" t="s">
        <v>1423</v>
      </c>
      <c r="B49" s="305"/>
      <c r="C49" s="305"/>
      <c r="D49" s="309"/>
      <c r="E49" s="309"/>
      <c r="F49" s="310"/>
      <c r="G49" s="309"/>
      <c r="H49" s="303">
        <f>H44*$C$47</f>
        <v>21.618454160418928</v>
      </c>
      <c r="I49" s="311"/>
      <c r="J49" s="311"/>
      <c r="K49" s="303">
        <f>K44*$C$47</f>
        <v>20.49653723558205</v>
      </c>
      <c r="L49" s="303">
        <f>L44*$C$47</f>
        <v>19.460413760301147</v>
      </c>
      <c r="M49" s="303">
        <f>M44*$C$47</f>
        <v>18.510083734576092</v>
      </c>
      <c r="N49" s="303">
        <f>N44*$C$47</f>
        <v>17.645547158406956</v>
      </c>
      <c r="O49" s="303">
        <f>O44*$C$47</f>
        <v>16.866804031793738</v>
      </c>
    </row>
  </sheetData>
  <mergeCells count="11">
    <mergeCell ref="B42:G42"/>
    <mergeCell ref="B44:G44"/>
    <mergeCell ref="A4:E4"/>
    <mergeCell ref="A23:B23"/>
    <mergeCell ref="K22:O22"/>
    <mergeCell ref="A22:B22"/>
    <mergeCell ref="C22:J22"/>
    <mergeCell ref="K8:O8"/>
    <mergeCell ref="C8:J8"/>
    <mergeCell ref="A8:B8"/>
    <mergeCell ref="B18:G18"/>
  </mergeCells>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38"/>
  <sheetViews>
    <sheetView showGridLines="0" zoomScale="68" zoomScaleNormal="68" workbookViewId="0">
      <selection activeCell="A4" sqref="A4:E4"/>
    </sheetView>
  </sheetViews>
  <sheetFormatPr baseColWidth="10" defaultRowHeight="14.25" x14ac:dyDescent="0.2"/>
  <cols>
    <col min="1" max="27" width="20" style="231" customWidth="1"/>
    <col min="28" max="16384" width="11.42578125" style="231"/>
  </cols>
  <sheetData>
    <row r="2" spans="1:24" s="239" customFormat="1" ht="12.75" x14ac:dyDescent="0.2">
      <c r="A2" s="266" t="s">
        <v>947</v>
      </c>
      <c r="B2" s="267"/>
      <c r="C2" s="267"/>
      <c r="D2" s="268" t="e">
        <f>'Beneficios Peaje'!#REF!</f>
        <v>#REF!</v>
      </c>
      <c r="E2" s="235"/>
      <c r="H2" s="269"/>
    </row>
    <row r="3" spans="1:24" s="239" customFormat="1" ht="12.75" x14ac:dyDescent="0.2">
      <c r="B3" s="235"/>
      <c r="C3" s="235"/>
      <c r="D3" s="240"/>
      <c r="E3" s="235"/>
      <c r="H3" s="236"/>
    </row>
    <row r="4" spans="1:24" s="239" customFormat="1" ht="12.75" x14ac:dyDescent="0.2">
      <c r="A4" s="715" t="s">
        <v>1411</v>
      </c>
      <c r="B4" s="715"/>
      <c r="C4" s="715"/>
      <c r="D4" s="715"/>
      <c r="E4" s="715"/>
      <c r="H4" s="258"/>
    </row>
    <row r="6" spans="1:24" x14ac:dyDescent="0.2">
      <c r="A6" s="272" t="s">
        <v>1321</v>
      </c>
      <c r="B6" s="272"/>
      <c r="I6" s="271"/>
    </row>
    <row r="7" spans="1:24" x14ac:dyDescent="0.2">
      <c r="A7" s="272" t="s">
        <v>1322</v>
      </c>
      <c r="B7" s="312">
        <v>0.05</v>
      </c>
      <c r="C7" s="313"/>
    </row>
    <row r="8" spans="1:24" x14ac:dyDescent="0.2">
      <c r="A8" s="272" t="s">
        <v>17</v>
      </c>
      <c r="B8" s="312">
        <v>0.5</v>
      </c>
      <c r="C8" s="313"/>
    </row>
    <row r="9" spans="1:24" x14ac:dyDescent="0.2">
      <c r="D9" s="731" t="s">
        <v>1376</v>
      </c>
      <c r="E9" s="734"/>
      <c r="F9" s="734"/>
      <c r="G9" s="732"/>
      <c r="H9" s="731" t="s">
        <v>1407</v>
      </c>
      <c r="I9" s="734"/>
      <c r="J9" s="734"/>
      <c r="K9" s="734"/>
      <c r="L9" s="732"/>
      <c r="M9" s="731" t="s">
        <v>1323</v>
      </c>
      <c r="N9" s="732"/>
      <c r="O9" s="733" t="s">
        <v>1408</v>
      </c>
      <c r="P9" s="733"/>
      <c r="Q9" s="733"/>
      <c r="R9" s="733"/>
      <c r="S9" s="733"/>
      <c r="T9" s="733" t="s">
        <v>1406</v>
      </c>
      <c r="U9" s="733"/>
      <c r="V9" s="733"/>
      <c r="W9" s="733"/>
      <c r="X9" s="733"/>
    </row>
    <row r="10" spans="1:24" s="304" customFormat="1" ht="52.5" customHeight="1" x14ac:dyDescent="0.25">
      <c r="A10" s="270" t="s">
        <v>1298</v>
      </c>
      <c r="B10" s="270" t="s">
        <v>1181</v>
      </c>
      <c r="C10" s="270" t="s">
        <v>1359</v>
      </c>
      <c r="D10" s="270" t="s">
        <v>1304</v>
      </c>
      <c r="E10" s="270" t="s">
        <v>1305</v>
      </c>
      <c r="F10" s="270" t="s">
        <v>1358</v>
      </c>
      <c r="G10" s="270" t="s">
        <v>1310</v>
      </c>
      <c r="H10" s="270" t="s">
        <v>1311</v>
      </c>
      <c r="I10" s="270" t="s">
        <v>1312</v>
      </c>
      <c r="J10" s="270" t="s">
        <v>1313</v>
      </c>
      <c r="K10" s="270" t="s">
        <v>1314</v>
      </c>
      <c r="L10" s="270" t="s">
        <v>1315</v>
      </c>
      <c r="M10" s="270" t="s">
        <v>1304</v>
      </c>
      <c r="N10" s="270" t="s">
        <v>1305</v>
      </c>
      <c r="O10" s="270" t="s">
        <v>1311</v>
      </c>
      <c r="P10" s="270" t="s">
        <v>1312</v>
      </c>
      <c r="Q10" s="270" t="s">
        <v>1313</v>
      </c>
      <c r="R10" s="270" t="s">
        <v>1314</v>
      </c>
      <c r="S10" s="270" t="s">
        <v>1315</v>
      </c>
      <c r="T10" s="270" t="s">
        <v>1311</v>
      </c>
      <c r="U10" s="270" t="s">
        <v>1312</v>
      </c>
      <c r="V10" s="270" t="s">
        <v>1313</v>
      </c>
      <c r="W10" s="270" t="s">
        <v>1314</v>
      </c>
      <c r="X10" s="270" t="s">
        <v>1315</v>
      </c>
    </row>
    <row r="11" spans="1:24" x14ac:dyDescent="0.2">
      <c r="A11" s="314">
        <v>13101</v>
      </c>
      <c r="B11" s="314" t="s">
        <v>1299</v>
      </c>
      <c r="C11" s="314" t="s">
        <v>1173</v>
      </c>
      <c r="D11" s="315">
        <f>AVERAGEIFS('Indicadores 34,5kV'!$Q$2:$Q$241,'Indicadores 34,5kV'!$A$2:$A$241,A11)*12</f>
        <v>48.599999999999994</v>
      </c>
      <c r="E11" s="315">
        <f>AVERAGEIFS('Indicadores 34,5kV'!$R$2:$R$241,'Indicadores 34,5kV'!$A$2:$A$241,A11)*12</f>
        <v>23.869999999999997</v>
      </c>
      <c r="F11" s="315">
        <f>SUMIF('Demandas 34,5kV'!$A$3:$A$100,A11,'Demandas 34,5kV'!$C$3:$C$100)</f>
        <v>2407.2594076538853</v>
      </c>
      <c r="G11" s="315">
        <f>F11*24*365</f>
        <v>21087592.411048036</v>
      </c>
      <c r="H11" s="315">
        <f>(F11+F11*2%)*E11</f>
        <v>58610.507701912204</v>
      </c>
      <c r="I11" s="315">
        <f t="shared" ref="I11:L36" si="0">H11+H11*2%</f>
        <v>59782.717855950446</v>
      </c>
      <c r="J11" s="315">
        <f t="shared" si="0"/>
        <v>60978.372213069459</v>
      </c>
      <c r="K11" s="315">
        <f t="shared" si="0"/>
        <v>62197.939657330848</v>
      </c>
      <c r="L11" s="315">
        <f t="shared" si="0"/>
        <v>63441.898450477463</v>
      </c>
      <c r="M11" s="316">
        <f>D11-D11*$B$7</f>
        <v>46.169999999999995</v>
      </c>
      <c r="N11" s="316">
        <f>E11-E11*$B$7</f>
        <v>22.676499999999997</v>
      </c>
      <c r="O11" s="316">
        <f>(F11+F11*2%)*N11</f>
        <v>55679.982316816597</v>
      </c>
      <c r="P11" s="316">
        <f t="shared" ref="P11:S36" si="1">O11+O11*2%</f>
        <v>56793.58196315293</v>
      </c>
      <c r="Q11" s="316">
        <f t="shared" si="1"/>
        <v>57929.45360241599</v>
      </c>
      <c r="R11" s="316">
        <f t="shared" si="1"/>
        <v>59088.042674464312</v>
      </c>
      <c r="S11" s="316">
        <f t="shared" si="1"/>
        <v>60269.803527953598</v>
      </c>
      <c r="T11" s="316">
        <f>($F11+$F11*2%)*($E11-$N11)</f>
        <v>2930.525385095611</v>
      </c>
      <c r="U11" s="316">
        <f>($F11+$F11*4%)*($E11-$N11)</f>
        <v>2987.9866671563091</v>
      </c>
      <c r="V11" s="316">
        <f>($F11+$F11*6%)*($E11-$N11)</f>
        <v>3045.4479492170076</v>
      </c>
      <c r="W11" s="316">
        <f>($F11+$F11*8%)*($E11-$N11)</f>
        <v>3102.9092312777057</v>
      </c>
      <c r="X11" s="316">
        <f>($F11+$F11*10%)*($E11-$N11)</f>
        <v>3160.3705133384042</v>
      </c>
    </row>
    <row r="12" spans="1:24" x14ac:dyDescent="0.2">
      <c r="A12" s="317">
        <v>13102</v>
      </c>
      <c r="B12" s="317" t="s">
        <v>1300</v>
      </c>
      <c r="C12" s="317" t="s">
        <v>1173</v>
      </c>
      <c r="D12" s="316">
        <f>AVERAGEIFS('Indicadores 34,5kV'!$Q$2:$Q$241,'Indicadores 34,5kV'!$A$2:$A$241,A12)*12</f>
        <v>61.800000000000004</v>
      </c>
      <c r="E12" s="316">
        <f>AVERAGEIFS('Indicadores 34,5kV'!$R$2:$R$241,'Indicadores 34,5kV'!$A$2:$A$241,A12)*12</f>
        <v>61.650000000000006</v>
      </c>
      <c r="F12" s="316">
        <f>SUMIF('Demandas 34,5kV'!$A$3:$A$100,A12,'Demandas 34,5kV'!$C$3:$C$100)</f>
        <v>1032.200094556157</v>
      </c>
      <c r="G12" s="316">
        <f t="shared" ref="G12:G36" si="2">F12*24*365</f>
        <v>9042072.8283119351</v>
      </c>
      <c r="H12" s="315">
        <f t="shared" ref="H12:H36" si="3">(F12+F12*2%)*E12</f>
        <v>64907.838545974832</v>
      </c>
      <c r="I12" s="316">
        <f t="shared" si="0"/>
        <v>66205.995316894332</v>
      </c>
      <c r="J12" s="316">
        <f t="shared" si="0"/>
        <v>67530.11522323222</v>
      </c>
      <c r="K12" s="316">
        <f t="shared" si="0"/>
        <v>68880.717527696863</v>
      </c>
      <c r="L12" s="316">
        <f t="shared" si="0"/>
        <v>70258.331878250799</v>
      </c>
      <c r="M12" s="316">
        <f t="shared" ref="M12:M36" si="4">D12-D12*$B$7</f>
        <v>58.71</v>
      </c>
      <c r="N12" s="316">
        <f t="shared" ref="N12:N36" si="5">E12-E12*$B$7</f>
        <v>58.567500000000003</v>
      </c>
      <c r="O12" s="316">
        <f t="shared" ref="O12:O36" si="6">(F12+F12*2%)*N12</f>
        <v>61662.446618676084</v>
      </c>
      <c r="P12" s="316">
        <f t="shared" si="1"/>
        <v>62895.695551049605</v>
      </c>
      <c r="Q12" s="316">
        <f t="shared" si="1"/>
        <v>64153.609462070599</v>
      </c>
      <c r="R12" s="316">
        <f t="shared" si="1"/>
        <v>65436.681651312014</v>
      </c>
      <c r="S12" s="316">
        <f t="shared" si="1"/>
        <v>66745.415284338247</v>
      </c>
      <c r="T12" s="316">
        <f t="shared" ref="T12:T36" si="7">($F12+$F12*2%)*($E12-$N12)</f>
        <v>3245.3919272987446</v>
      </c>
      <c r="U12" s="316">
        <f t="shared" ref="U12:U36" si="8">($F12+$F12*4%)*($E12-$N12)</f>
        <v>3309.0270631281314</v>
      </c>
      <c r="V12" s="316">
        <f t="shared" ref="V12:V36" si="9">($F12+$F12*6%)*($E12-$N12)</f>
        <v>3372.6621989575183</v>
      </c>
      <c r="W12" s="316">
        <f t="shared" ref="W12:W36" si="10">($F12+$F12*8%)*($E12-$N12)</f>
        <v>3436.2973347869056</v>
      </c>
      <c r="X12" s="316">
        <f t="shared" ref="X12:X36" si="11">($F12+$F12*10%)*($E12-$N12)</f>
        <v>3499.9324706162929</v>
      </c>
    </row>
    <row r="13" spans="1:24" x14ac:dyDescent="0.2">
      <c r="A13" s="317">
        <v>13105</v>
      </c>
      <c r="B13" s="317" t="s">
        <v>1301</v>
      </c>
      <c r="C13" s="317" t="s">
        <v>1173</v>
      </c>
      <c r="D13" s="316">
        <f>AVERAGEIFS('Indicadores 34,5kV'!$Q$2:$Q$241,'Indicadores 34,5kV'!$A$2:$A$241,A13)*12</f>
        <v>13.200000000000001</v>
      </c>
      <c r="E13" s="316">
        <f>AVERAGEIFS('Indicadores 34,5kV'!$R$2:$R$241,'Indicadores 34,5kV'!$A$2:$A$241,A13)*12</f>
        <v>4.18</v>
      </c>
      <c r="F13" s="316">
        <f>SUMIF('Demandas 34,5kV'!$A$3:$A$100,A13,'Demandas 34,5kV'!$C$3:$C$100)</f>
        <v>3371.58520706119</v>
      </c>
      <c r="G13" s="316">
        <f t="shared" si="2"/>
        <v>29535086.413856022</v>
      </c>
      <c r="H13" s="315">
        <f t="shared" si="3"/>
        <v>14375.090688826089</v>
      </c>
      <c r="I13" s="316">
        <f t="shared" si="0"/>
        <v>14662.592502602611</v>
      </c>
      <c r="J13" s="316">
        <f t="shared" si="0"/>
        <v>14955.844352654663</v>
      </c>
      <c r="K13" s="316">
        <f t="shared" si="0"/>
        <v>15254.961239707756</v>
      </c>
      <c r="L13" s="316">
        <f t="shared" si="0"/>
        <v>15560.060464501912</v>
      </c>
      <c r="M13" s="316">
        <f t="shared" si="4"/>
        <v>12.540000000000001</v>
      </c>
      <c r="N13" s="316">
        <f t="shared" si="5"/>
        <v>3.9709999999999996</v>
      </c>
      <c r="O13" s="316">
        <f t="shared" si="6"/>
        <v>13656.336154384784</v>
      </c>
      <c r="P13" s="316">
        <f t="shared" si="1"/>
        <v>13929.462877472481</v>
      </c>
      <c r="Q13" s="316">
        <f t="shared" si="1"/>
        <v>14208.05213502193</v>
      </c>
      <c r="R13" s="316">
        <f t="shared" si="1"/>
        <v>14492.213177722368</v>
      </c>
      <c r="S13" s="316">
        <f t="shared" si="1"/>
        <v>14782.057441276815</v>
      </c>
      <c r="T13" s="316">
        <f t="shared" si="7"/>
        <v>718.75453444130471</v>
      </c>
      <c r="U13" s="316">
        <f t="shared" si="8"/>
        <v>732.84776060682043</v>
      </c>
      <c r="V13" s="316">
        <f t="shared" si="9"/>
        <v>746.94098677233637</v>
      </c>
      <c r="W13" s="316">
        <f t="shared" si="10"/>
        <v>761.03421293785209</v>
      </c>
      <c r="X13" s="316">
        <f t="shared" si="11"/>
        <v>775.12743910336781</v>
      </c>
    </row>
    <row r="14" spans="1:24" x14ac:dyDescent="0.2">
      <c r="A14" s="317">
        <v>14201</v>
      </c>
      <c r="B14" s="317" t="s">
        <v>1302</v>
      </c>
      <c r="C14" s="317" t="s">
        <v>1173</v>
      </c>
      <c r="D14" s="316">
        <f>AVERAGEIFS('Indicadores 34,5kV'!$Q$2:$Q$241,'Indicadores 34,5kV'!$A$2:$A$241,A14)*12</f>
        <v>6.6000000000000005</v>
      </c>
      <c r="E14" s="316">
        <f>AVERAGEIFS('Indicadores 34,5kV'!$R$2:$R$241,'Indicadores 34,5kV'!$A$2:$A$241,A14)*12</f>
        <v>4.6500000000000004</v>
      </c>
      <c r="F14" s="316">
        <f>SUMIF('Demandas 34,5kV'!$A$3:$A$100,A14,'Demandas 34,5kV'!$C$3:$C$100)</f>
        <v>6327.7496906276201</v>
      </c>
      <c r="G14" s="316">
        <f t="shared" si="2"/>
        <v>55431087.289897949</v>
      </c>
      <c r="H14" s="315">
        <f t="shared" si="3"/>
        <v>30012.516782646802</v>
      </c>
      <c r="I14" s="316">
        <f t="shared" si="0"/>
        <v>30612.76711829974</v>
      </c>
      <c r="J14" s="316">
        <f t="shared" si="0"/>
        <v>31225.022460665736</v>
      </c>
      <c r="K14" s="316">
        <f t="shared" si="0"/>
        <v>31849.522909879051</v>
      </c>
      <c r="L14" s="316">
        <f t="shared" si="0"/>
        <v>32486.513368076634</v>
      </c>
      <c r="M14" s="316">
        <f t="shared" si="4"/>
        <v>6.2700000000000005</v>
      </c>
      <c r="N14" s="316">
        <f t="shared" si="5"/>
        <v>4.4175000000000004</v>
      </c>
      <c r="O14" s="316">
        <f t="shared" si="6"/>
        <v>28511.890943514463</v>
      </c>
      <c r="P14" s="316">
        <f t="shared" si="1"/>
        <v>29082.128762384753</v>
      </c>
      <c r="Q14" s="316">
        <f t="shared" si="1"/>
        <v>29663.771337632446</v>
      </c>
      <c r="R14" s="316">
        <f t="shared" si="1"/>
        <v>30257.046764385097</v>
      </c>
      <c r="S14" s="316">
        <f t="shared" si="1"/>
        <v>30862.187699672799</v>
      </c>
      <c r="T14" s="316">
        <f t="shared" si="7"/>
        <v>1500.6258391323397</v>
      </c>
      <c r="U14" s="316">
        <f t="shared" si="8"/>
        <v>1530.049875193758</v>
      </c>
      <c r="V14" s="316">
        <f t="shared" si="9"/>
        <v>1559.4739112551765</v>
      </c>
      <c r="W14" s="316">
        <f t="shared" si="10"/>
        <v>1588.8979473165948</v>
      </c>
      <c r="X14" s="316">
        <f t="shared" si="11"/>
        <v>1618.3219833780133</v>
      </c>
    </row>
    <row r="15" spans="1:24" x14ac:dyDescent="0.2">
      <c r="A15" s="317">
        <v>14202</v>
      </c>
      <c r="B15" s="317" t="s">
        <v>1306</v>
      </c>
      <c r="C15" s="317" t="s">
        <v>1173</v>
      </c>
      <c r="D15" s="316">
        <f>AVERAGEIFS('Indicadores 34,5kV'!$Q$2:$Q$241,'Indicadores 34,5kV'!$A$2:$A$241,A15)*12</f>
        <v>28.799999999999997</v>
      </c>
      <c r="E15" s="316">
        <f>AVERAGEIFS('Indicadores 34,5kV'!$R$2:$R$241,'Indicadores 34,5kV'!$A$2:$A$241,A15)*12</f>
        <v>25.07</v>
      </c>
      <c r="F15" s="316">
        <f>SUMIF('Demandas 34,5kV'!$A$3:$A$100,A15,'Demandas 34,5kV'!$C$3:$C$100)</f>
        <v>0</v>
      </c>
      <c r="G15" s="316">
        <f t="shared" si="2"/>
        <v>0</v>
      </c>
      <c r="H15" s="315">
        <f t="shared" si="3"/>
        <v>0</v>
      </c>
      <c r="I15" s="316">
        <f t="shared" si="0"/>
        <v>0</v>
      </c>
      <c r="J15" s="316">
        <f t="shared" si="0"/>
        <v>0</v>
      </c>
      <c r="K15" s="316">
        <f t="shared" si="0"/>
        <v>0</v>
      </c>
      <c r="L15" s="316">
        <f t="shared" si="0"/>
        <v>0</v>
      </c>
      <c r="M15" s="316">
        <f t="shared" si="4"/>
        <v>27.359999999999996</v>
      </c>
      <c r="N15" s="316">
        <f t="shared" si="5"/>
        <v>23.816500000000001</v>
      </c>
      <c r="O15" s="316">
        <f t="shared" si="6"/>
        <v>0</v>
      </c>
      <c r="P15" s="316">
        <f t="shared" si="1"/>
        <v>0</v>
      </c>
      <c r="Q15" s="316">
        <f t="shared" si="1"/>
        <v>0</v>
      </c>
      <c r="R15" s="316">
        <f t="shared" si="1"/>
        <v>0</v>
      </c>
      <c r="S15" s="316">
        <f t="shared" si="1"/>
        <v>0</v>
      </c>
      <c r="T15" s="316">
        <f t="shared" si="7"/>
        <v>0</v>
      </c>
      <c r="U15" s="316">
        <f t="shared" si="8"/>
        <v>0</v>
      </c>
      <c r="V15" s="316">
        <f t="shared" si="9"/>
        <v>0</v>
      </c>
      <c r="W15" s="316">
        <f t="shared" si="10"/>
        <v>0</v>
      </c>
      <c r="X15" s="316">
        <f t="shared" si="11"/>
        <v>0</v>
      </c>
    </row>
    <row r="16" spans="1:24" x14ac:dyDescent="0.2">
      <c r="A16" s="317">
        <v>14203</v>
      </c>
      <c r="B16" s="317" t="s">
        <v>1303</v>
      </c>
      <c r="C16" s="317" t="s">
        <v>1173</v>
      </c>
      <c r="D16" s="316">
        <f>AVERAGEIFS('Indicadores 34,5kV'!$Q$2:$Q$241,'Indicadores 34,5kV'!$A$2:$A$241,A16)*12</f>
        <v>12</v>
      </c>
      <c r="E16" s="316">
        <f>AVERAGEIFS('Indicadores 34,5kV'!$R$2:$R$241,'Indicadores 34,5kV'!$A$2:$A$241,A16)*12</f>
        <v>7.9300000000000006</v>
      </c>
      <c r="F16" s="316">
        <f>SUMIF('Demandas 34,5kV'!$A$3:$A$100,A16,'Demandas 34,5kV'!$C$3:$C$100)</f>
        <v>5070.6080592407025</v>
      </c>
      <c r="G16" s="316">
        <f t="shared" si="2"/>
        <v>44418526.598948553</v>
      </c>
      <c r="H16" s="315">
        <f t="shared" si="3"/>
        <v>41014.120347974349</v>
      </c>
      <c r="I16" s="316">
        <f t="shared" si="0"/>
        <v>41834.402754933835</v>
      </c>
      <c r="J16" s="316">
        <f t="shared" si="0"/>
        <v>42671.09081003251</v>
      </c>
      <c r="K16" s="316">
        <f t="shared" si="0"/>
        <v>43524.512626233161</v>
      </c>
      <c r="L16" s="316">
        <f t="shared" si="0"/>
        <v>44395.002878757827</v>
      </c>
      <c r="M16" s="316">
        <f t="shared" si="4"/>
        <v>11.4</v>
      </c>
      <c r="N16" s="316">
        <f t="shared" si="5"/>
        <v>7.5335000000000001</v>
      </c>
      <c r="O16" s="316">
        <f t="shared" si="6"/>
        <v>38963.41433057563</v>
      </c>
      <c r="P16" s="316">
        <f t="shared" si="1"/>
        <v>39742.682617187143</v>
      </c>
      <c r="Q16" s="316">
        <f t="shared" si="1"/>
        <v>40537.536269530887</v>
      </c>
      <c r="R16" s="316">
        <f t="shared" si="1"/>
        <v>41348.286994921502</v>
      </c>
      <c r="S16" s="316">
        <f t="shared" si="1"/>
        <v>42175.252734819929</v>
      </c>
      <c r="T16" s="316">
        <f t="shared" si="7"/>
        <v>2050.7060173987202</v>
      </c>
      <c r="U16" s="316">
        <f t="shared" si="8"/>
        <v>2090.9159393084988</v>
      </c>
      <c r="V16" s="316">
        <f t="shared" si="9"/>
        <v>2131.1258612182778</v>
      </c>
      <c r="W16" s="316">
        <f t="shared" si="10"/>
        <v>2171.3357831280564</v>
      </c>
      <c r="X16" s="316">
        <f t="shared" si="11"/>
        <v>2211.5457050378354</v>
      </c>
    </row>
    <row r="17" spans="1:24" x14ac:dyDescent="0.2">
      <c r="A17" s="317">
        <v>14204</v>
      </c>
      <c r="B17" s="317" t="s">
        <v>1307</v>
      </c>
      <c r="C17" s="317" t="s">
        <v>1173</v>
      </c>
      <c r="D17" s="316">
        <f>AVERAGEIFS('Indicadores 34,5kV'!$Q$2:$Q$241,'Indicadores 34,5kV'!$A$2:$A$241,A17)*12</f>
        <v>25.200000000000003</v>
      </c>
      <c r="E17" s="316">
        <f>AVERAGEIFS('Indicadores 34,5kV'!$R$2:$R$241,'Indicadores 34,5kV'!$A$2:$A$241,A17)*12</f>
        <v>7.68</v>
      </c>
      <c r="F17" s="316">
        <f>SUMIF('Demandas 34,5kV'!$A$3:$A$100,A17,'Demandas 34,5kV'!$C$3:$C$100)</f>
        <v>4021.448103312975</v>
      </c>
      <c r="G17" s="316">
        <f t="shared" si="2"/>
        <v>35227885.385021664</v>
      </c>
      <c r="H17" s="315">
        <f t="shared" si="3"/>
        <v>31502.415862112521</v>
      </c>
      <c r="I17" s="316">
        <f t="shared" si="0"/>
        <v>32132.464179354771</v>
      </c>
      <c r="J17" s="316">
        <f t="shared" si="0"/>
        <v>32775.113462941867</v>
      </c>
      <c r="K17" s="316">
        <f t="shared" si="0"/>
        <v>33430.615732200706</v>
      </c>
      <c r="L17" s="316">
        <f t="shared" si="0"/>
        <v>34099.228046844721</v>
      </c>
      <c r="M17" s="316">
        <f t="shared" si="4"/>
        <v>23.94</v>
      </c>
      <c r="N17" s="316">
        <f t="shared" si="5"/>
        <v>7.2959999999999994</v>
      </c>
      <c r="O17" s="316">
        <f t="shared" si="6"/>
        <v>29927.29506900689</v>
      </c>
      <c r="P17" s="316">
        <f t="shared" si="1"/>
        <v>30525.840970387027</v>
      </c>
      <c r="Q17" s="316">
        <f t="shared" si="1"/>
        <v>31136.357789794769</v>
      </c>
      <c r="R17" s="316">
        <f t="shared" si="1"/>
        <v>31759.084945590665</v>
      </c>
      <c r="S17" s="316">
        <f t="shared" si="1"/>
        <v>32394.266644502477</v>
      </c>
      <c r="T17" s="316">
        <f t="shared" si="7"/>
        <v>1575.1207931056274</v>
      </c>
      <c r="U17" s="316">
        <f t="shared" si="8"/>
        <v>1606.0055145390711</v>
      </c>
      <c r="V17" s="316">
        <f t="shared" si="9"/>
        <v>1636.8902359725146</v>
      </c>
      <c r="W17" s="316">
        <f t="shared" si="10"/>
        <v>1667.7749574059587</v>
      </c>
      <c r="X17" s="316">
        <f t="shared" si="11"/>
        <v>1698.6596788394022</v>
      </c>
    </row>
    <row r="18" spans="1:24" x14ac:dyDescent="0.2">
      <c r="A18" s="317">
        <v>23004</v>
      </c>
      <c r="B18" s="317" t="s">
        <v>1308</v>
      </c>
      <c r="C18" s="317" t="s">
        <v>1173</v>
      </c>
      <c r="D18" s="316">
        <f>AVERAGEIFS('Indicadores 34,5kV'!$Q$2:$Q$241,'Indicadores 34,5kV'!$A$2:$A$241,A18)*12</f>
        <v>31.200000000000003</v>
      </c>
      <c r="E18" s="316">
        <f>AVERAGEIFS('Indicadores 34,5kV'!$R$2:$R$241,'Indicadores 34,5kV'!$A$2:$A$241,A18)*12</f>
        <v>37.090000000000003</v>
      </c>
      <c r="F18" s="316">
        <f>SUMIF('Demandas 34,5kV'!$A$3:$A$100,A18,'Demandas 34,5kV'!$C$3:$C$100)</f>
        <v>0</v>
      </c>
      <c r="G18" s="316">
        <f t="shared" si="2"/>
        <v>0</v>
      </c>
      <c r="H18" s="315">
        <f t="shared" si="3"/>
        <v>0</v>
      </c>
      <c r="I18" s="316">
        <f t="shared" si="0"/>
        <v>0</v>
      </c>
      <c r="J18" s="316">
        <f t="shared" si="0"/>
        <v>0</v>
      </c>
      <c r="K18" s="316">
        <f t="shared" si="0"/>
        <v>0</v>
      </c>
      <c r="L18" s="316">
        <f t="shared" si="0"/>
        <v>0</v>
      </c>
      <c r="M18" s="316">
        <f t="shared" si="4"/>
        <v>29.640000000000004</v>
      </c>
      <c r="N18" s="316">
        <f t="shared" si="5"/>
        <v>35.235500000000002</v>
      </c>
      <c r="O18" s="316">
        <f t="shared" si="6"/>
        <v>0</v>
      </c>
      <c r="P18" s="316">
        <f t="shared" si="1"/>
        <v>0</v>
      </c>
      <c r="Q18" s="316">
        <f t="shared" si="1"/>
        <v>0</v>
      </c>
      <c r="R18" s="316">
        <f t="shared" si="1"/>
        <v>0</v>
      </c>
      <c r="S18" s="316">
        <f t="shared" si="1"/>
        <v>0</v>
      </c>
      <c r="T18" s="316">
        <f t="shared" si="7"/>
        <v>0</v>
      </c>
      <c r="U18" s="316">
        <f t="shared" si="8"/>
        <v>0</v>
      </c>
      <c r="V18" s="316">
        <f t="shared" si="9"/>
        <v>0</v>
      </c>
      <c r="W18" s="316">
        <f t="shared" si="10"/>
        <v>0</v>
      </c>
      <c r="X18" s="316">
        <f t="shared" si="11"/>
        <v>0</v>
      </c>
    </row>
    <row r="19" spans="1:24" x14ac:dyDescent="0.2">
      <c r="A19" s="317">
        <v>20105</v>
      </c>
      <c r="B19" s="317" t="s">
        <v>1175</v>
      </c>
      <c r="C19" s="317" t="s">
        <v>1309</v>
      </c>
      <c r="D19" s="316">
        <f>VLOOKUP(A19,'Indicadores 13,2kV'!$B$8:$BU$25,72,FALSE)</f>
        <v>161.4142832686978</v>
      </c>
      <c r="E19" s="316">
        <f>VLOOKUP(A19,'Indicadores 13,2kV'!$B$34:$BU$51,72,FALSE)</f>
        <v>110.65521154340088</v>
      </c>
      <c r="F19" s="316">
        <f>VLOOKUP(A19,'Demandas 13,2kV'!$A$3:$E$20,5,FALSE)</f>
        <v>436.5</v>
      </c>
      <c r="G19" s="316">
        <f t="shared" si="2"/>
        <v>3823740</v>
      </c>
      <c r="H19" s="315">
        <f t="shared" si="3"/>
        <v>49267.019835468374</v>
      </c>
      <c r="I19" s="316">
        <f t="shared" si="0"/>
        <v>50252.360232177743</v>
      </c>
      <c r="J19" s="316">
        <f t="shared" si="0"/>
        <v>51257.407436821297</v>
      </c>
      <c r="K19" s="316">
        <f t="shared" si="0"/>
        <v>52282.555585557726</v>
      </c>
      <c r="L19" s="316">
        <f t="shared" si="0"/>
        <v>53328.206697268877</v>
      </c>
      <c r="M19" s="316">
        <f t="shared" si="4"/>
        <v>153.3435691052629</v>
      </c>
      <c r="N19" s="316">
        <f t="shared" si="5"/>
        <v>105.12245096623084</v>
      </c>
      <c r="O19" s="316">
        <f t="shared" si="6"/>
        <v>46803.668843694963</v>
      </c>
      <c r="P19" s="316">
        <f t="shared" si="1"/>
        <v>47739.742220568864</v>
      </c>
      <c r="Q19" s="316">
        <f t="shared" si="1"/>
        <v>48694.537064980243</v>
      </c>
      <c r="R19" s="316">
        <f t="shared" si="1"/>
        <v>49668.427806279848</v>
      </c>
      <c r="S19" s="316">
        <f t="shared" si="1"/>
        <v>50661.796362405446</v>
      </c>
      <c r="T19" s="316">
        <f t="shared" si="7"/>
        <v>2463.3509917734159</v>
      </c>
      <c r="U19" s="316">
        <f t="shared" si="8"/>
        <v>2511.6519916121101</v>
      </c>
      <c r="V19" s="316">
        <f t="shared" si="9"/>
        <v>2559.9529914508048</v>
      </c>
      <c r="W19" s="316">
        <f t="shared" si="10"/>
        <v>2608.253991289499</v>
      </c>
      <c r="X19" s="316">
        <f t="shared" si="11"/>
        <v>2656.5549911281933</v>
      </c>
    </row>
    <row r="20" spans="1:24" x14ac:dyDescent="0.2">
      <c r="A20" s="317">
        <v>20106</v>
      </c>
      <c r="B20" s="317" t="s">
        <v>1176</v>
      </c>
      <c r="C20" s="317" t="s">
        <v>1309</v>
      </c>
      <c r="D20" s="316">
        <f>VLOOKUP(A20,'Indicadores 13,2kV'!$B$8:$BU$25,72,FALSE)</f>
        <v>193.20865553763454</v>
      </c>
      <c r="E20" s="316">
        <f>VLOOKUP(A20,'Indicadores 13,2kV'!$B$34:$BU$51,72,FALSE)</f>
        <v>109.32863677106029</v>
      </c>
      <c r="F20" s="316">
        <f>VLOOKUP(A20,'Demandas 13,2kV'!$A$3:$E$20,5,FALSE)</f>
        <v>2736</v>
      </c>
      <c r="G20" s="316">
        <f t="shared" si="2"/>
        <v>23967360</v>
      </c>
      <c r="H20" s="315">
        <f t="shared" si="3"/>
        <v>305105.61320973333</v>
      </c>
      <c r="I20" s="316">
        <f t="shared" si="0"/>
        <v>311207.72547392797</v>
      </c>
      <c r="J20" s="316">
        <f t="shared" si="0"/>
        <v>317431.87998340651</v>
      </c>
      <c r="K20" s="316">
        <f t="shared" si="0"/>
        <v>323780.51758307463</v>
      </c>
      <c r="L20" s="316">
        <f t="shared" si="0"/>
        <v>330256.12793473614</v>
      </c>
      <c r="M20" s="316">
        <f t="shared" si="4"/>
        <v>183.54822276075282</v>
      </c>
      <c r="N20" s="316">
        <f t="shared" si="5"/>
        <v>103.86220493250727</v>
      </c>
      <c r="O20" s="316">
        <f t="shared" si="6"/>
        <v>289850.33254924667</v>
      </c>
      <c r="P20" s="316">
        <f t="shared" si="1"/>
        <v>295647.3392002316</v>
      </c>
      <c r="Q20" s="316">
        <f t="shared" si="1"/>
        <v>301560.28598423622</v>
      </c>
      <c r="R20" s="316">
        <f t="shared" si="1"/>
        <v>307591.49170392094</v>
      </c>
      <c r="S20" s="316">
        <f t="shared" si="1"/>
        <v>313743.32153799938</v>
      </c>
      <c r="T20" s="316">
        <f t="shared" si="7"/>
        <v>15255.280660486686</v>
      </c>
      <c r="U20" s="316">
        <f t="shared" si="8"/>
        <v>15554.403810692307</v>
      </c>
      <c r="V20" s="316">
        <f t="shared" si="9"/>
        <v>15853.526960897929</v>
      </c>
      <c r="W20" s="316">
        <f t="shared" si="10"/>
        <v>16152.65011110355</v>
      </c>
      <c r="X20" s="316">
        <f t="shared" si="11"/>
        <v>16451.773261309172</v>
      </c>
    </row>
    <row r="21" spans="1:24" x14ac:dyDescent="0.2">
      <c r="A21" s="317">
        <v>20101</v>
      </c>
      <c r="B21" s="317" t="s">
        <v>1185</v>
      </c>
      <c r="C21" s="317" t="s">
        <v>1309</v>
      </c>
      <c r="D21" s="316">
        <f>VLOOKUP(A21,'Indicadores 13,2kV'!$B$8:$BU$25,72,FALSE)</f>
        <v>138.64463843367716</v>
      </c>
      <c r="E21" s="316">
        <f>VLOOKUP(A21,'Indicadores 13,2kV'!$B$34:$BU$51,72,FALSE)</f>
        <v>60.585717785626827</v>
      </c>
      <c r="F21" s="316">
        <f>VLOOKUP(A21,'Demandas 13,2kV'!$A$3:$E$20,5,FALSE)</f>
        <v>1224</v>
      </c>
      <c r="G21" s="316">
        <f t="shared" si="2"/>
        <v>10722240</v>
      </c>
      <c r="H21" s="315">
        <f t="shared" si="3"/>
        <v>75640.056940999377</v>
      </c>
      <c r="I21" s="316">
        <f t="shared" si="0"/>
        <v>77152.858079819358</v>
      </c>
      <c r="J21" s="316">
        <f t="shared" si="0"/>
        <v>78695.915241415743</v>
      </c>
      <c r="K21" s="316">
        <f t="shared" si="0"/>
        <v>80269.833546244059</v>
      </c>
      <c r="L21" s="316">
        <f t="shared" si="0"/>
        <v>81875.230217168937</v>
      </c>
      <c r="M21" s="316">
        <f t="shared" si="4"/>
        <v>131.71240651199329</v>
      </c>
      <c r="N21" s="316">
        <f t="shared" si="5"/>
        <v>57.556431896345487</v>
      </c>
      <c r="O21" s="316">
        <f t="shared" si="6"/>
        <v>71858.054093949409</v>
      </c>
      <c r="P21" s="316">
        <f t="shared" si="1"/>
        <v>73295.215175828402</v>
      </c>
      <c r="Q21" s="316">
        <f t="shared" si="1"/>
        <v>74761.119479344969</v>
      </c>
      <c r="R21" s="316">
        <f t="shared" si="1"/>
        <v>76256.341868931864</v>
      </c>
      <c r="S21" s="316">
        <f t="shared" si="1"/>
        <v>77781.468706310508</v>
      </c>
      <c r="T21" s="316">
        <f t="shared" si="7"/>
        <v>3782.0028470499674</v>
      </c>
      <c r="U21" s="316">
        <f t="shared" si="8"/>
        <v>3856.1597656195745</v>
      </c>
      <c r="V21" s="316">
        <f t="shared" si="9"/>
        <v>3930.3166841891816</v>
      </c>
      <c r="W21" s="316">
        <f t="shared" si="10"/>
        <v>4004.4736027587892</v>
      </c>
      <c r="X21" s="316">
        <f t="shared" si="11"/>
        <v>4078.6305213283963</v>
      </c>
    </row>
    <row r="22" spans="1:24" x14ac:dyDescent="0.2">
      <c r="A22" s="317">
        <v>20104</v>
      </c>
      <c r="B22" s="317" t="s">
        <v>1186</v>
      </c>
      <c r="C22" s="317" t="s">
        <v>1309</v>
      </c>
      <c r="D22" s="316">
        <f>VLOOKUP(A22,'Indicadores 13,2kV'!$B$8:$BU$25,72,FALSE)</f>
        <v>0</v>
      </c>
      <c r="E22" s="316">
        <f>VLOOKUP(A22,'Indicadores 13,2kV'!$B$34:$BU$51,72,FALSE)</f>
        <v>0</v>
      </c>
      <c r="F22" s="316">
        <f>VLOOKUP(A22,'Demandas 13,2kV'!$A$3:$E$20,5,FALSE)</f>
        <v>48.5</v>
      </c>
      <c r="G22" s="316">
        <f t="shared" si="2"/>
        <v>424860</v>
      </c>
      <c r="H22" s="315">
        <f t="shared" si="3"/>
        <v>0</v>
      </c>
      <c r="I22" s="316">
        <f t="shared" si="0"/>
        <v>0</v>
      </c>
      <c r="J22" s="316">
        <f t="shared" si="0"/>
        <v>0</v>
      </c>
      <c r="K22" s="316">
        <f t="shared" si="0"/>
        <v>0</v>
      </c>
      <c r="L22" s="316">
        <f t="shared" si="0"/>
        <v>0</v>
      </c>
      <c r="M22" s="316">
        <f t="shared" si="4"/>
        <v>0</v>
      </c>
      <c r="N22" s="316">
        <f t="shared" si="5"/>
        <v>0</v>
      </c>
      <c r="O22" s="316">
        <f t="shared" si="6"/>
        <v>0</v>
      </c>
      <c r="P22" s="316">
        <f t="shared" si="1"/>
        <v>0</v>
      </c>
      <c r="Q22" s="316">
        <f t="shared" si="1"/>
        <v>0</v>
      </c>
      <c r="R22" s="316">
        <f t="shared" si="1"/>
        <v>0</v>
      </c>
      <c r="S22" s="316">
        <f t="shared" si="1"/>
        <v>0</v>
      </c>
      <c r="T22" s="316">
        <f t="shared" si="7"/>
        <v>0</v>
      </c>
      <c r="U22" s="316">
        <f t="shared" si="8"/>
        <v>0</v>
      </c>
      <c r="V22" s="316">
        <f t="shared" si="9"/>
        <v>0</v>
      </c>
      <c r="W22" s="316">
        <f t="shared" si="10"/>
        <v>0</v>
      </c>
      <c r="X22" s="316">
        <f t="shared" si="11"/>
        <v>0</v>
      </c>
    </row>
    <row r="23" spans="1:24" x14ac:dyDescent="0.2">
      <c r="A23" s="317">
        <v>20102</v>
      </c>
      <c r="B23" s="317" t="s">
        <v>1187</v>
      </c>
      <c r="C23" s="317" t="s">
        <v>1309</v>
      </c>
      <c r="D23" s="316">
        <f>VLOOKUP(A23,'Indicadores 13,2kV'!$B$8:$BU$25,72,FALSE)</f>
        <v>0</v>
      </c>
      <c r="E23" s="316">
        <f>VLOOKUP(A23,'Indicadores 13,2kV'!$B$34:$BU$51,72,FALSE)</f>
        <v>0</v>
      </c>
      <c r="F23" s="316">
        <f>VLOOKUP(A23,'Demandas 13,2kV'!$A$3:$E$20,5,FALSE)</f>
        <v>266.75</v>
      </c>
      <c r="G23" s="316">
        <f t="shared" si="2"/>
        <v>2336730</v>
      </c>
      <c r="H23" s="315">
        <f t="shared" si="3"/>
        <v>0</v>
      </c>
      <c r="I23" s="316">
        <f t="shared" si="0"/>
        <v>0</v>
      </c>
      <c r="J23" s="316">
        <f t="shared" si="0"/>
        <v>0</v>
      </c>
      <c r="K23" s="316">
        <f t="shared" si="0"/>
        <v>0</v>
      </c>
      <c r="L23" s="316">
        <f t="shared" si="0"/>
        <v>0</v>
      </c>
      <c r="M23" s="316">
        <f t="shared" si="4"/>
        <v>0</v>
      </c>
      <c r="N23" s="316">
        <f t="shared" si="5"/>
        <v>0</v>
      </c>
      <c r="O23" s="316">
        <f t="shared" si="6"/>
        <v>0</v>
      </c>
      <c r="P23" s="316">
        <f t="shared" si="1"/>
        <v>0</v>
      </c>
      <c r="Q23" s="316">
        <f t="shared" si="1"/>
        <v>0</v>
      </c>
      <c r="R23" s="316">
        <f t="shared" si="1"/>
        <v>0</v>
      </c>
      <c r="S23" s="316">
        <f t="shared" si="1"/>
        <v>0</v>
      </c>
      <c r="T23" s="316">
        <f t="shared" si="7"/>
        <v>0</v>
      </c>
      <c r="U23" s="316">
        <f t="shared" si="8"/>
        <v>0</v>
      </c>
      <c r="V23" s="316">
        <f t="shared" si="9"/>
        <v>0</v>
      </c>
      <c r="W23" s="316">
        <f t="shared" si="10"/>
        <v>0</v>
      </c>
      <c r="X23" s="316">
        <f t="shared" si="11"/>
        <v>0</v>
      </c>
    </row>
    <row r="24" spans="1:24" x14ac:dyDescent="0.2">
      <c r="A24" s="317">
        <v>41101</v>
      </c>
      <c r="B24" s="317" t="s">
        <v>1058</v>
      </c>
      <c r="C24" s="317" t="s">
        <v>1309</v>
      </c>
      <c r="D24" s="316">
        <f>VLOOKUP(A24,'Indicadores 13,2kV'!$B$8:$BU$25,72,FALSE)</f>
        <v>99.941841479781672</v>
      </c>
      <c r="E24" s="316">
        <f>VLOOKUP(A24,'Indicadores 13,2kV'!$B$34:$BU$51,72,FALSE)</f>
        <v>59.383230582438841</v>
      </c>
      <c r="F24" s="316">
        <f>VLOOKUP(A24,'Demandas 13,2kV'!$A$3:$E$20,5,FALSE)</f>
        <v>370.13</v>
      </c>
      <c r="G24" s="316">
        <f t="shared" si="2"/>
        <v>3242338.8</v>
      </c>
      <c r="H24" s="315">
        <f t="shared" si="3"/>
        <v>22419.105438187649</v>
      </c>
      <c r="I24" s="316">
        <f t="shared" si="0"/>
        <v>22867.487546951401</v>
      </c>
      <c r="J24" s="316">
        <f t="shared" si="0"/>
        <v>23324.83729789043</v>
      </c>
      <c r="K24" s="316">
        <f t="shared" si="0"/>
        <v>23791.334043848237</v>
      </c>
      <c r="L24" s="316">
        <f t="shared" si="0"/>
        <v>24267.160724725203</v>
      </c>
      <c r="M24" s="316">
        <f t="shared" si="4"/>
        <v>94.944749405792592</v>
      </c>
      <c r="N24" s="316">
        <f t="shared" si="5"/>
        <v>56.414069053316901</v>
      </c>
      <c r="O24" s="316">
        <f t="shared" si="6"/>
        <v>21298.150166278268</v>
      </c>
      <c r="P24" s="316">
        <f t="shared" si="1"/>
        <v>21724.113169603836</v>
      </c>
      <c r="Q24" s="316">
        <f t="shared" si="1"/>
        <v>22158.595432995913</v>
      </c>
      <c r="R24" s="316">
        <f t="shared" si="1"/>
        <v>22601.767341655832</v>
      </c>
      <c r="S24" s="316">
        <f t="shared" si="1"/>
        <v>23053.802688488948</v>
      </c>
      <c r="T24" s="316">
        <f t="shared" si="7"/>
        <v>1120.955271909382</v>
      </c>
      <c r="U24" s="316">
        <f t="shared" si="8"/>
        <v>1142.9347870448601</v>
      </c>
      <c r="V24" s="316">
        <f t="shared" si="9"/>
        <v>1164.9143021803382</v>
      </c>
      <c r="W24" s="316">
        <f t="shared" si="10"/>
        <v>1186.8938173158162</v>
      </c>
      <c r="X24" s="316">
        <f t="shared" si="11"/>
        <v>1208.8733324512941</v>
      </c>
    </row>
    <row r="25" spans="1:24" x14ac:dyDescent="0.2">
      <c r="A25" s="317">
        <v>41102</v>
      </c>
      <c r="B25" s="317" t="s">
        <v>1188</v>
      </c>
      <c r="C25" s="317" t="s">
        <v>1309</v>
      </c>
      <c r="D25" s="316">
        <f>VLOOKUP(A25,'Indicadores 13,2kV'!$B$8:$BU$25,72,FALSE)</f>
        <v>125.79220731037135</v>
      </c>
      <c r="E25" s="316">
        <f>VLOOKUP(A25,'Indicadores 13,2kV'!$B$34:$BU$51,72,FALSE)</f>
        <v>103.62367787710235</v>
      </c>
      <c r="F25" s="316">
        <f>VLOOKUP(A25,'Demandas 13,2kV'!$A$3:$E$20,5,FALSE)</f>
        <v>1499.4</v>
      </c>
      <c r="G25" s="316">
        <f t="shared" si="2"/>
        <v>13134744.000000002</v>
      </c>
      <c r="H25" s="315">
        <f t="shared" si="3"/>
        <v>158480.80946110582</v>
      </c>
      <c r="I25" s="316">
        <f t="shared" si="0"/>
        <v>161650.42565032793</v>
      </c>
      <c r="J25" s="316">
        <f t="shared" si="0"/>
        <v>164883.43416333449</v>
      </c>
      <c r="K25" s="316">
        <f t="shared" si="0"/>
        <v>168181.10284660119</v>
      </c>
      <c r="L25" s="316">
        <f t="shared" si="0"/>
        <v>171544.72490353321</v>
      </c>
      <c r="M25" s="316">
        <f t="shared" si="4"/>
        <v>119.50259694485278</v>
      </c>
      <c r="N25" s="316">
        <f t="shared" si="5"/>
        <v>98.442493983247232</v>
      </c>
      <c r="O25" s="316">
        <f t="shared" si="6"/>
        <v>150556.76898805052</v>
      </c>
      <c r="P25" s="316">
        <f t="shared" si="1"/>
        <v>153567.90436781154</v>
      </c>
      <c r="Q25" s="316">
        <f t="shared" si="1"/>
        <v>156639.26245516777</v>
      </c>
      <c r="R25" s="316">
        <f t="shared" si="1"/>
        <v>159772.04770427113</v>
      </c>
      <c r="S25" s="316">
        <f t="shared" si="1"/>
        <v>162967.48865835654</v>
      </c>
      <c r="T25" s="316">
        <f t="shared" si="7"/>
        <v>7924.0404730552955</v>
      </c>
      <c r="U25" s="316">
        <f t="shared" si="8"/>
        <v>8079.413815664223</v>
      </c>
      <c r="V25" s="316">
        <f t="shared" si="9"/>
        <v>8234.7871582731495</v>
      </c>
      <c r="W25" s="316">
        <f t="shared" si="10"/>
        <v>8390.160500882077</v>
      </c>
      <c r="X25" s="316">
        <f t="shared" si="11"/>
        <v>8545.5338434910045</v>
      </c>
    </row>
    <row r="26" spans="1:24" x14ac:dyDescent="0.2">
      <c r="A26" s="317">
        <v>41103</v>
      </c>
      <c r="B26" s="317" t="s">
        <v>1189</v>
      </c>
      <c r="C26" s="317" t="s">
        <v>1309</v>
      </c>
      <c r="D26" s="316">
        <f>VLOOKUP(A26,'Indicadores 13,2kV'!$B$8:$BU$25,72,FALSE)</f>
        <v>102.59776335788213</v>
      </c>
      <c r="E26" s="316">
        <f>VLOOKUP(A26,'Indicadores 13,2kV'!$B$34:$BU$51,72,FALSE)</f>
        <v>73.107915741913203</v>
      </c>
      <c r="F26" s="316">
        <f>VLOOKUP(A26,'Demandas 13,2kV'!$A$3:$E$20,5,FALSE)</f>
        <v>810</v>
      </c>
      <c r="G26" s="316">
        <f t="shared" si="2"/>
        <v>7095600</v>
      </c>
      <c r="H26" s="315">
        <f t="shared" si="3"/>
        <v>60401.759985968689</v>
      </c>
      <c r="I26" s="316">
        <f t="shared" si="0"/>
        <v>61609.795185688061</v>
      </c>
      <c r="J26" s="316">
        <f t="shared" si="0"/>
        <v>62841.991089401825</v>
      </c>
      <c r="K26" s="316">
        <f t="shared" si="0"/>
        <v>64098.830911189863</v>
      </c>
      <c r="L26" s="316">
        <f t="shared" si="0"/>
        <v>65380.807529413658</v>
      </c>
      <c r="M26" s="316">
        <f t="shared" si="4"/>
        <v>97.467875189988021</v>
      </c>
      <c r="N26" s="316">
        <f t="shared" si="5"/>
        <v>69.452519954817546</v>
      </c>
      <c r="O26" s="316">
        <f t="shared" si="6"/>
        <v>57381.671986670262</v>
      </c>
      <c r="P26" s="316">
        <f t="shared" si="1"/>
        <v>58529.305426403669</v>
      </c>
      <c r="Q26" s="316">
        <f t="shared" si="1"/>
        <v>59699.891534931739</v>
      </c>
      <c r="R26" s="316">
        <f t="shared" si="1"/>
        <v>60893.889365630377</v>
      </c>
      <c r="S26" s="316">
        <f t="shared" si="1"/>
        <v>62111.767152942986</v>
      </c>
      <c r="T26" s="316">
        <f t="shared" si="7"/>
        <v>3020.0879992984314</v>
      </c>
      <c r="U26" s="316">
        <f t="shared" si="8"/>
        <v>3079.3054110493808</v>
      </c>
      <c r="V26" s="316">
        <f t="shared" si="9"/>
        <v>3138.5228228003307</v>
      </c>
      <c r="W26" s="316">
        <f t="shared" si="10"/>
        <v>3197.7402345512801</v>
      </c>
      <c r="X26" s="316">
        <f t="shared" si="11"/>
        <v>3256.9576463022299</v>
      </c>
    </row>
    <row r="27" spans="1:24" x14ac:dyDescent="0.2">
      <c r="A27" s="317">
        <v>41104</v>
      </c>
      <c r="B27" s="317" t="s">
        <v>1177</v>
      </c>
      <c r="C27" s="317" t="s">
        <v>1309</v>
      </c>
      <c r="D27" s="316">
        <f>VLOOKUP(A27,'Indicadores 13,2kV'!$B$8:$BU$25,72,FALSE)</f>
        <v>98.671658089492482</v>
      </c>
      <c r="E27" s="316">
        <f>VLOOKUP(A27,'Indicadores 13,2kV'!$B$34:$BU$51,72,FALSE)</f>
        <v>60.328979323071763</v>
      </c>
      <c r="F27" s="316">
        <f>VLOOKUP(A27,'Demandas 13,2kV'!$A$3:$E$20,5,FALSE)</f>
        <v>376.25</v>
      </c>
      <c r="G27" s="316">
        <f t="shared" si="2"/>
        <v>3295950</v>
      </c>
      <c r="H27" s="315">
        <f t="shared" si="3"/>
        <v>23152.754039711865</v>
      </c>
      <c r="I27" s="316">
        <f t="shared" si="0"/>
        <v>23615.809120506103</v>
      </c>
      <c r="J27" s="316">
        <f t="shared" si="0"/>
        <v>24088.125302916225</v>
      </c>
      <c r="K27" s="316">
        <f t="shared" si="0"/>
        <v>24569.887808974549</v>
      </c>
      <c r="L27" s="316">
        <f t="shared" si="0"/>
        <v>25061.285565154041</v>
      </c>
      <c r="M27" s="316">
        <f t="shared" si="4"/>
        <v>93.738075185017863</v>
      </c>
      <c r="N27" s="316">
        <f t="shared" si="5"/>
        <v>57.312530356918174</v>
      </c>
      <c r="O27" s="316">
        <f t="shared" si="6"/>
        <v>21995.116337726271</v>
      </c>
      <c r="P27" s="316">
        <f t="shared" si="1"/>
        <v>22435.018664480798</v>
      </c>
      <c r="Q27" s="316">
        <f t="shared" si="1"/>
        <v>22883.719037770414</v>
      </c>
      <c r="R27" s="316">
        <f t="shared" si="1"/>
        <v>23341.393418525822</v>
      </c>
      <c r="S27" s="316">
        <f t="shared" si="1"/>
        <v>23808.22128689634</v>
      </c>
      <c r="T27" s="316">
        <f t="shared" si="7"/>
        <v>1157.6377019855938</v>
      </c>
      <c r="U27" s="316">
        <f t="shared" si="8"/>
        <v>1180.3364804558996</v>
      </c>
      <c r="V27" s="316">
        <f t="shared" si="9"/>
        <v>1203.0352589262054</v>
      </c>
      <c r="W27" s="316">
        <f t="shared" si="10"/>
        <v>1225.7340373965112</v>
      </c>
      <c r="X27" s="316">
        <f t="shared" si="11"/>
        <v>1248.4328158668168</v>
      </c>
    </row>
    <row r="28" spans="1:24" x14ac:dyDescent="0.2">
      <c r="A28" s="317">
        <v>19101</v>
      </c>
      <c r="B28" s="317" t="s">
        <v>1179</v>
      </c>
      <c r="C28" s="317" t="s">
        <v>1309</v>
      </c>
      <c r="D28" s="316">
        <f>VLOOKUP(A28,'Indicadores 13,2kV'!$B$8:$BU$25,72,FALSE)</f>
        <v>0</v>
      </c>
      <c r="E28" s="316">
        <f>VLOOKUP(A28,'Indicadores 13,2kV'!$B$34:$BU$51,72,FALSE)</f>
        <v>0</v>
      </c>
      <c r="F28" s="316">
        <f>VLOOKUP(A28,'Demandas 13,2kV'!$A$3:$E$20,5,FALSE)</f>
        <v>3175.9</v>
      </c>
      <c r="G28" s="316">
        <f t="shared" si="2"/>
        <v>27820884.000000004</v>
      </c>
      <c r="H28" s="315">
        <f t="shared" si="3"/>
        <v>0</v>
      </c>
      <c r="I28" s="316">
        <f t="shared" si="0"/>
        <v>0</v>
      </c>
      <c r="J28" s="316">
        <f t="shared" si="0"/>
        <v>0</v>
      </c>
      <c r="K28" s="316">
        <f t="shared" si="0"/>
        <v>0</v>
      </c>
      <c r="L28" s="316">
        <f t="shared" si="0"/>
        <v>0</v>
      </c>
      <c r="M28" s="316">
        <f t="shared" si="4"/>
        <v>0</v>
      </c>
      <c r="N28" s="316">
        <f t="shared" si="5"/>
        <v>0</v>
      </c>
      <c r="O28" s="316">
        <f t="shared" si="6"/>
        <v>0</v>
      </c>
      <c r="P28" s="316">
        <f t="shared" si="1"/>
        <v>0</v>
      </c>
      <c r="Q28" s="316">
        <f t="shared" si="1"/>
        <v>0</v>
      </c>
      <c r="R28" s="316">
        <f t="shared" si="1"/>
        <v>0</v>
      </c>
      <c r="S28" s="316">
        <f t="shared" si="1"/>
        <v>0</v>
      </c>
      <c r="T28" s="316">
        <f t="shared" si="7"/>
        <v>0</v>
      </c>
      <c r="U28" s="316">
        <f t="shared" si="8"/>
        <v>0</v>
      </c>
      <c r="V28" s="316">
        <f t="shared" si="9"/>
        <v>0</v>
      </c>
      <c r="W28" s="316">
        <f t="shared" si="10"/>
        <v>0</v>
      </c>
      <c r="X28" s="316">
        <f t="shared" si="11"/>
        <v>0</v>
      </c>
    </row>
    <row r="29" spans="1:24" x14ac:dyDescent="0.2">
      <c r="A29" s="317">
        <v>19102</v>
      </c>
      <c r="B29" s="317" t="s">
        <v>1178</v>
      </c>
      <c r="C29" s="317" t="s">
        <v>1309</v>
      </c>
      <c r="D29" s="316">
        <f>VLOOKUP(A29,'Indicadores 13,2kV'!$B$8:$BU$25,72,FALSE)</f>
        <v>235.70046848457491</v>
      </c>
      <c r="E29" s="316">
        <f>VLOOKUP(A29,'Indicadores 13,2kV'!$B$34:$BU$51,72,FALSE)</f>
        <v>54.150918738061542</v>
      </c>
      <c r="F29" s="316">
        <f>VLOOKUP(A29,'Demandas 13,2kV'!$A$3:$E$20,5,FALSE)</f>
        <v>2190</v>
      </c>
      <c r="G29" s="316">
        <f t="shared" si="2"/>
        <v>19184400</v>
      </c>
      <c r="H29" s="315">
        <f t="shared" si="3"/>
        <v>120962.32227708188</v>
      </c>
      <c r="I29" s="316">
        <f t="shared" si="0"/>
        <v>123381.56872262352</v>
      </c>
      <c r="J29" s="316">
        <f t="shared" si="0"/>
        <v>125849.20009707598</v>
      </c>
      <c r="K29" s="316">
        <f t="shared" si="0"/>
        <v>128366.1840990175</v>
      </c>
      <c r="L29" s="316">
        <f t="shared" si="0"/>
        <v>130933.50778099785</v>
      </c>
      <c r="M29" s="316">
        <f t="shared" si="4"/>
        <v>223.91544506034617</v>
      </c>
      <c r="N29" s="316">
        <f t="shared" si="5"/>
        <v>51.443372801158461</v>
      </c>
      <c r="O29" s="316">
        <f t="shared" si="6"/>
        <v>114914.20616322778</v>
      </c>
      <c r="P29" s="316">
        <f t="shared" si="1"/>
        <v>117212.49028649234</v>
      </c>
      <c r="Q29" s="316">
        <f t="shared" si="1"/>
        <v>119556.74009222219</v>
      </c>
      <c r="R29" s="316">
        <f t="shared" si="1"/>
        <v>121947.87489406663</v>
      </c>
      <c r="S29" s="316">
        <f t="shared" si="1"/>
        <v>124386.83239194796</v>
      </c>
      <c r="T29" s="316">
        <f t="shared" si="7"/>
        <v>6048.1161138541029</v>
      </c>
      <c r="U29" s="316">
        <f t="shared" si="8"/>
        <v>6166.706625890457</v>
      </c>
      <c r="V29" s="316">
        <f t="shared" si="9"/>
        <v>6285.2971379268129</v>
      </c>
      <c r="W29" s="316">
        <f t="shared" si="10"/>
        <v>6403.887649963167</v>
      </c>
      <c r="X29" s="316">
        <f t="shared" si="11"/>
        <v>6522.4781619995219</v>
      </c>
    </row>
    <row r="30" spans="1:24" x14ac:dyDescent="0.2">
      <c r="A30" s="317">
        <v>19104</v>
      </c>
      <c r="B30" s="317" t="s">
        <v>1190</v>
      </c>
      <c r="C30" s="317" t="s">
        <v>1309</v>
      </c>
      <c r="D30" s="316">
        <f>VLOOKUP(A30,'Indicadores 13,2kV'!$B$8:$BU$25,72,FALSE)</f>
        <v>78.113687847015214</v>
      </c>
      <c r="E30" s="316">
        <f>VLOOKUP(A30,'Indicadores 13,2kV'!$B$34:$BU$51,72,FALSE)</f>
        <v>49.33375724254207</v>
      </c>
      <c r="F30" s="316">
        <f>VLOOKUP(A30,'Demandas 13,2kV'!$A$3:$E$20,5,FALSE)</f>
        <v>324</v>
      </c>
      <c r="G30" s="316">
        <f t="shared" si="2"/>
        <v>2838240</v>
      </c>
      <c r="H30" s="315">
        <f t="shared" si="3"/>
        <v>16303.820093515304</v>
      </c>
      <c r="I30" s="316">
        <f t="shared" si="0"/>
        <v>16629.896495385608</v>
      </c>
      <c r="J30" s="316">
        <f t="shared" si="0"/>
        <v>16962.49442529332</v>
      </c>
      <c r="K30" s="316">
        <f t="shared" si="0"/>
        <v>17301.744313799187</v>
      </c>
      <c r="L30" s="316">
        <f t="shared" si="0"/>
        <v>17647.779200075169</v>
      </c>
      <c r="M30" s="316">
        <f t="shared" si="4"/>
        <v>74.20800345466445</v>
      </c>
      <c r="N30" s="316">
        <f t="shared" si="5"/>
        <v>46.867069380414968</v>
      </c>
      <c r="O30" s="316">
        <f t="shared" si="6"/>
        <v>15488.62908883954</v>
      </c>
      <c r="P30" s="316">
        <f t="shared" si="1"/>
        <v>15798.401670616331</v>
      </c>
      <c r="Q30" s="316">
        <f t="shared" si="1"/>
        <v>16114.369704028657</v>
      </c>
      <c r="R30" s="316">
        <f t="shared" si="1"/>
        <v>16436.65709810923</v>
      </c>
      <c r="S30" s="316">
        <f t="shared" si="1"/>
        <v>16765.390240071414</v>
      </c>
      <c r="T30" s="316">
        <f t="shared" si="7"/>
        <v>815.19100467576482</v>
      </c>
      <c r="U30" s="316">
        <f t="shared" si="8"/>
        <v>831.17514202234838</v>
      </c>
      <c r="V30" s="316">
        <f t="shared" si="9"/>
        <v>847.15927936893206</v>
      </c>
      <c r="W30" s="316">
        <f t="shared" si="10"/>
        <v>863.14341671551574</v>
      </c>
      <c r="X30" s="316">
        <f t="shared" si="11"/>
        <v>879.12755406209931</v>
      </c>
    </row>
    <row r="31" spans="1:24" x14ac:dyDescent="0.2">
      <c r="A31" s="317">
        <v>19103</v>
      </c>
      <c r="B31" s="317" t="s">
        <v>1191</v>
      </c>
      <c r="C31" s="317" t="s">
        <v>1309</v>
      </c>
      <c r="D31" s="316">
        <f>VLOOKUP(A31,'Indicadores 13,2kV'!$B$8:$BU$25,72,FALSE)</f>
        <v>63.305301663176749</v>
      </c>
      <c r="E31" s="316">
        <f>VLOOKUP(A31,'Indicadores 13,2kV'!$B$34:$BU$51,72,FALSE)</f>
        <v>20.337055826014733</v>
      </c>
      <c r="F31" s="316">
        <f>VLOOKUP(A31,'Demandas 13,2kV'!$A$3:$E$20,5,FALSE)</f>
        <v>1125</v>
      </c>
      <c r="G31" s="316">
        <f t="shared" si="2"/>
        <v>9855000</v>
      </c>
      <c r="H31" s="315">
        <f t="shared" si="3"/>
        <v>23336.771560351906</v>
      </c>
      <c r="I31" s="316">
        <f t="shared" si="0"/>
        <v>23803.506991558945</v>
      </c>
      <c r="J31" s="316">
        <f t="shared" si="0"/>
        <v>24279.577131390124</v>
      </c>
      <c r="K31" s="316">
        <f t="shared" si="0"/>
        <v>24765.168674017928</v>
      </c>
      <c r="L31" s="316">
        <f t="shared" si="0"/>
        <v>25260.472047498286</v>
      </c>
      <c r="M31" s="316">
        <f t="shared" si="4"/>
        <v>60.140036580017913</v>
      </c>
      <c r="N31" s="316">
        <f t="shared" si="5"/>
        <v>19.320203034713998</v>
      </c>
      <c r="O31" s="316">
        <f t="shared" si="6"/>
        <v>22169.932982334314</v>
      </c>
      <c r="P31" s="316">
        <f t="shared" si="1"/>
        <v>22613.331641981</v>
      </c>
      <c r="Q31" s="316">
        <f t="shared" si="1"/>
        <v>23065.598274820619</v>
      </c>
      <c r="R31" s="316">
        <f t="shared" si="1"/>
        <v>23526.910240317033</v>
      </c>
      <c r="S31" s="316">
        <f t="shared" si="1"/>
        <v>23997.448445123373</v>
      </c>
      <c r="T31" s="316">
        <f t="shared" si="7"/>
        <v>1166.8385780175936</v>
      </c>
      <c r="U31" s="316">
        <f t="shared" si="8"/>
        <v>1189.7177658218602</v>
      </c>
      <c r="V31" s="316">
        <f t="shared" si="9"/>
        <v>1212.5969536261268</v>
      </c>
      <c r="W31" s="316">
        <f t="shared" si="10"/>
        <v>1235.4761414303932</v>
      </c>
      <c r="X31" s="316">
        <f t="shared" si="11"/>
        <v>1258.3553292346598</v>
      </c>
    </row>
    <row r="32" spans="1:24" x14ac:dyDescent="0.2">
      <c r="A32" s="317">
        <v>26101</v>
      </c>
      <c r="B32" s="317" t="s">
        <v>1283</v>
      </c>
      <c r="C32" s="317" t="s">
        <v>1309</v>
      </c>
      <c r="D32" s="316">
        <f>VLOOKUP(A32,'Indicadores 13,2kV'!$B$8:$BU$25,72,FALSE)</f>
        <v>72.757201040965612</v>
      </c>
      <c r="E32" s="316">
        <f>VLOOKUP(A32,'Indicadores 13,2kV'!$B$34:$BU$51,72,FALSE)</f>
        <v>39.883911112107377</v>
      </c>
      <c r="F32" s="316">
        <f>VLOOKUP(A32,'Demandas 13,2kV'!$A$3:$E$20,5,FALSE)</f>
        <v>2065.5</v>
      </c>
      <c r="G32" s="316">
        <f t="shared" si="2"/>
        <v>18093780</v>
      </c>
      <c r="H32" s="315">
        <f t="shared" si="3"/>
        <v>84027.822770098937</v>
      </c>
      <c r="I32" s="316">
        <f t="shared" si="0"/>
        <v>85708.379225500918</v>
      </c>
      <c r="J32" s="316">
        <f t="shared" si="0"/>
        <v>87422.546810010943</v>
      </c>
      <c r="K32" s="316">
        <f t="shared" si="0"/>
        <v>89170.997746211156</v>
      </c>
      <c r="L32" s="316">
        <f t="shared" si="0"/>
        <v>90954.417701135375</v>
      </c>
      <c r="M32" s="316">
        <f t="shared" si="4"/>
        <v>69.11934098891733</v>
      </c>
      <c r="N32" s="316">
        <f t="shared" si="5"/>
        <v>37.889715556502011</v>
      </c>
      <c r="O32" s="316">
        <f t="shared" si="6"/>
        <v>79826.431631593994</v>
      </c>
      <c r="P32" s="316">
        <f t="shared" si="1"/>
        <v>81422.960264225869</v>
      </c>
      <c r="Q32" s="316">
        <f t="shared" si="1"/>
        <v>83051.41946951038</v>
      </c>
      <c r="R32" s="316">
        <f t="shared" si="1"/>
        <v>84712.447858900588</v>
      </c>
      <c r="S32" s="316">
        <f t="shared" si="1"/>
        <v>86406.696816078605</v>
      </c>
      <c r="T32" s="316">
        <f t="shared" si="7"/>
        <v>4201.3911385049405</v>
      </c>
      <c r="U32" s="316">
        <f t="shared" si="8"/>
        <v>4283.7713569069974</v>
      </c>
      <c r="V32" s="316">
        <f t="shared" si="9"/>
        <v>4366.1515753090553</v>
      </c>
      <c r="W32" s="316">
        <f t="shared" si="10"/>
        <v>4448.5317937111131</v>
      </c>
      <c r="X32" s="316">
        <f t="shared" si="11"/>
        <v>4530.9120121131718</v>
      </c>
    </row>
    <row r="33" spans="1:24" x14ac:dyDescent="0.2">
      <c r="A33" s="317">
        <v>26102</v>
      </c>
      <c r="B33" s="317" t="s">
        <v>1280</v>
      </c>
      <c r="C33" s="317" t="s">
        <v>1309</v>
      </c>
      <c r="D33" s="316">
        <f>VLOOKUP(A33,'Indicadores 13,2kV'!$B$8:$BU$25,72,FALSE)</f>
        <v>202.0484803204628</v>
      </c>
      <c r="E33" s="316">
        <f>VLOOKUP(A33,'Indicadores 13,2kV'!$B$34:$BU$51,72,FALSE)</f>
        <v>128.30737321057305</v>
      </c>
      <c r="F33" s="316">
        <f>VLOOKUP(A33,'Demandas 13,2kV'!$A$3:$E$20,5,FALSE)</f>
        <v>1282.5</v>
      </c>
      <c r="G33" s="316">
        <f t="shared" si="2"/>
        <v>11234700</v>
      </c>
      <c r="H33" s="315">
        <f t="shared" si="3"/>
        <v>167845.29026541114</v>
      </c>
      <c r="I33" s="316">
        <f t="shared" si="0"/>
        <v>171202.19607071936</v>
      </c>
      <c r="J33" s="316">
        <f t="shared" si="0"/>
        <v>174626.23999213375</v>
      </c>
      <c r="K33" s="316">
        <f t="shared" si="0"/>
        <v>178118.76479197643</v>
      </c>
      <c r="L33" s="316">
        <f t="shared" si="0"/>
        <v>181681.14008781596</v>
      </c>
      <c r="M33" s="316">
        <f t="shared" si="4"/>
        <v>191.94605630443965</v>
      </c>
      <c r="N33" s="316">
        <f t="shared" si="5"/>
        <v>121.89200455004439</v>
      </c>
      <c r="O33" s="316">
        <f t="shared" si="6"/>
        <v>159453.02575214059</v>
      </c>
      <c r="P33" s="316">
        <f t="shared" si="1"/>
        <v>162642.08626718339</v>
      </c>
      <c r="Q33" s="316">
        <f t="shared" si="1"/>
        <v>165894.92799252705</v>
      </c>
      <c r="R33" s="316">
        <f t="shared" si="1"/>
        <v>169212.82655237761</v>
      </c>
      <c r="S33" s="316">
        <f t="shared" si="1"/>
        <v>172597.08308342515</v>
      </c>
      <c r="T33" s="316">
        <f t="shared" si="7"/>
        <v>8392.264513270562</v>
      </c>
      <c r="U33" s="316">
        <f t="shared" si="8"/>
        <v>8556.8187194131224</v>
      </c>
      <c r="V33" s="316">
        <f t="shared" si="9"/>
        <v>8721.3729255556827</v>
      </c>
      <c r="W33" s="316">
        <f t="shared" si="10"/>
        <v>8885.9271316982413</v>
      </c>
      <c r="X33" s="316">
        <f t="shared" si="11"/>
        <v>9050.4813378408016</v>
      </c>
    </row>
    <row r="34" spans="1:24" x14ac:dyDescent="0.2">
      <c r="A34" s="317">
        <v>23102</v>
      </c>
      <c r="B34" s="317" t="s">
        <v>1278</v>
      </c>
      <c r="C34" s="317" t="s">
        <v>1309</v>
      </c>
      <c r="D34" s="316">
        <f>VLOOKUP(A34,'Indicadores 13,2kV'!$B$8:$BU$25,72,FALSE)</f>
        <v>346.94183035741315</v>
      </c>
      <c r="E34" s="316">
        <f>VLOOKUP(A34,'Indicadores 13,2kV'!$B$34:$BU$51,72,FALSE)</f>
        <v>156.4542933186344</v>
      </c>
      <c r="F34" s="316">
        <f>VLOOKUP(A34,'Demandas 13,2kV'!$A$3:$E$20,5,FALSE)</f>
        <v>1440</v>
      </c>
      <c r="G34" s="316">
        <f t="shared" si="2"/>
        <v>12614400</v>
      </c>
      <c r="H34" s="315">
        <f t="shared" si="3"/>
        <v>229800.0660264102</v>
      </c>
      <c r="I34" s="316">
        <f t="shared" si="0"/>
        <v>234396.06734693842</v>
      </c>
      <c r="J34" s="316">
        <f t="shared" si="0"/>
        <v>239083.98869387718</v>
      </c>
      <c r="K34" s="316">
        <f t="shared" si="0"/>
        <v>243865.66846775473</v>
      </c>
      <c r="L34" s="316">
        <f t="shared" si="0"/>
        <v>248742.98183710984</v>
      </c>
      <c r="M34" s="316">
        <f t="shared" si="4"/>
        <v>329.59473883954252</v>
      </c>
      <c r="N34" s="316">
        <f t="shared" si="5"/>
        <v>148.63157865270267</v>
      </c>
      <c r="O34" s="316">
        <f t="shared" si="6"/>
        <v>218310.06272508967</v>
      </c>
      <c r="P34" s="316">
        <f t="shared" si="1"/>
        <v>222676.26397959146</v>
      </c>
      <c r="Q34" s="316">
        <f t="shared" si="1"/>
        <v>227129.78925918328</v>
      </c>
      <c r="R34" s="316">
        <f t="shared" si="1"/>
        <v>231672.38504436694</v>
      </c>
      <c r="S34" s="316">
        <f t="shared" si="1"/>
        <v>236305.83274525427</v>
      </c>
      <c r="T34" s="316">
        <f t="shared" si="7"/>
        <v>11490.003301320521</v>
      </c>
      <c r="U34" s="316">
        <f t="shared" si="8"/>
        <v>11715.297483699354</v>
      </c>
      <c r="V34" s="316">
        <f t="shared" si="9"/>
        <v>11940.59166607819</v>
      </c>
      <c r="W34" s="316">
        <f t="shared" si="10"/>
        <v>12165.885848457023</v>
      </c>
      <c r="X34" s="316">
        <f t="shared" si="11"/>
        <v>12391.180030835856</v>
      </c>
    </row>
    <row r="35" spans="1:24" x14ac:dyDescent="0.2">
      <c r="A35" s="317">
        <v>23101</v>
      </c>
      <c r="B35" s="317" t="s">
        <v>1284</v>
      </c>
      <c r="C35" s="317" t="s">
        <v>1309</v>
      </c>
      <c r="D35" s="316">
        <f>VLOOKUP(A35,'Indicadores 13,2kV'!$B$8:$BU$25,72,FALSE)</f>
        <v>87.844637327257885</v>
      </c>
      <c r="E35" s="316">
        <f>VLOOKUP(A35,'Indicadores 13,2kV'!$B$34:$BU$51,72,FALSE)</f>
        <v>33.777095601263589</v>
      </c>
      <c r="F35" s="316">
        <f>VLOOKUP(A35,'Demandas 13,2kV'!$A$3:$E$20,5,FALSE)</f>
        <v>1720</v>
      </c>
      <c r="G35" s="316">
        <f t="shared" si="2"/>
        <v>15067200</v>
      </c>
      <c r="H35" s="315">
        <f t="shared" si="3"/>
        <v>59258.536522856841</v>
      </c>
      <c r="I35" s="316">
        <f t="shared" si="0"/>
        <v>60443.70725331398</v>
      </c>
      <c r="J35" s="316">
        <f t="shared" si="0"/>
        <v>61652.581398380258</v>
      </c>
      <c r="K35" s="316">
        <f t="shared" si="0"/>
        <v>62885.633026347867</v>
      </c>
      <c r="L35" s="316">
        <f t="shared" si="0"/>
        <v>64143.345686874825</v>
      </c>
      <c r="M35" s="316">
        <f t="shared" si="4"/>
        <v>83.452405460894994</v>
      </c>
      <c r="N35" s="316">
        <f t="shared" si="5"/>
        <v>32.088240821200408</v>
      </c>
      <c r="O35" s="316">
        <f t="shared" si="6"/>
        <v>56295.609696713997</v>
      </c>
      <c r="P35" s="316">
        <f t="shared" si="1"/>
        <v>57421.521890648277</v>
      </c>
      <c r="Q35" s="316">
        <f t="shared" si="1"/>
        <v>58569.952328461244</v>
      </c>
      <c r="R35" s="316">
        <f t="shared" si="1"/>
        <v>59741.35137503047</v>
      </c>
      <c r="S35" s="316">
        <f t="shared" si="1"/>
        <v>60936.178402531077</v>
      </c>
      <c r="T35" s="316">
        <f t="shared" si="7"/>
        <v>2962.9268261428451</v>
      </c>
      <c r="U35" s="316">
        <f t="shared" si="8"/>
        <v>3021.0234305770186</v>
      </c>
      <c r="V35" s="316">
        <f t="shared" si="9"/>
        <v>3079.1200350111922</v>
      </c>
      <c r="W35" s="316">
        <f t="shared" si="10"/>
        <v>3137.2166394453652</v>
      </c>
      <c r="X35" s="316">
        <f t="shared" si="11"/>
        <v>3195.3132438795387</v>
      </c>
    </row>
    <row r="36" spans="1:24" x14ac:dyDescent="0.2">
      <c r="A36" s="317">
        <v>23103</v>
      </c>
      <c r="B36" s="317" t="s">
        <v>1192</v>
      </c>
      <c r="C36" s="317" t="s">
        <v>1309</v>
      </c>
      <c r="D36" s="316">
        <f>VLOOKUP(A36,'Indicadores 13,2kV'!$B$8:$BU$25,72,FALSE)</f>
        <v>170.1555711609825</v>
      </c>
      <c r="E36" s="316">
        <f>VLOOKUP(A36,'Indicadores 13,2kV'!$B$34:$BU$51,72,FALSE)</f>
        <v>59.353953321672144</v>
      </c>
      <c r="F36" s="316">
        <f>VLOOKUP(A36,'Demandas 13,2kV'!$A$3:$E$20,5,FALSE)</f>
        <v>1092</v>
      </c>
      <c r="G36" s="316">
        <f t="shared" si="2"/>
        <v>9565920</v>
      </c>
      <c r="H36" s="315">
        <f t="shared" si="3"/>
        <v>66110.8073678113</v>
      </c>
      <c r="I36" s="316">
        <f t="shared" si="0"/>
        <v>67433.02351516753</v>
      </c>
      <c r="J36" s="316">
        <f t="shared" si="0"/>
        <v>68781.683985470881</v>
      </c>
      <c r="K36" s="316">
        <f t="shared" si="0"/>
        <v>70157.317665180293</v>
      </c>
      <c r="L36" s="316">
        <f t="shared" si="0"/>
        <v>71560.464018483894</v>
      </c>
      <c r="M36" s="316">
        <f t="shared" si="4"/>
        <v>161.64779260293338</v>
      </c>
      <c r="N36" s="316">
        <f t="shared" si="5"/>
        <v>56.386255655588535</v>
      </c>
      <c r="O36" s="316">
        <f t="shared" si="6"/>
        <v>62805.266999420732</v>
      </c>
      <c r="P36" s="316">
        <f t="shared" si="1"/>
        <v>64061.372339409143</v>
      </c>
      <c r="Q36" s="316">
        <f t="shared" si="1"/>
        <v>65342.599786197323</v>
      </c>
      <c r="R36" s="316">
        <f t="shared" si="1"/>
        <v>66649.451781921263</v>
      </c>
      <c r="S36" s="316">
        <f t="shared" si="1"/>
        <v>67982.440817559691</v>
      </c>
      <c r="T36" s="316">
        <f t="shared" si="7"/>
        <v>3305.540368390567</v>
      </c>
      <c r="U36" s="316">
        <f t="shared" si="8"/>
        <v>3370.3548854178334</v>
      </c>
      <c r="V36" s="316">
        <f t="shared" si="9"/>
        <v>3435.169402445099</v>
      </c>
      <c r="W36" s="316">
        <f t="shared" si="10"/>
        <v>3499.983919472365</v>
      </c>
      <c r="X36" s="316">
        <f t="shared" si="11"/>
        <v>3564.7984364996314</v>
      </c>
    </row>
    <row r="38" spans="1:24" ht="15" x14ac:dyDescent="0.25">
      <c r="B38" s="318" t="s">
        <v>1477</v>
      </c>
      <c r="T38" s="273">
        <f>SUM(T11:T37)</f>
        <v>85126.752286208037</v>
      </c>
      <c r="U38" s="273">
        <f>SUM(U11:U37)</f>
        <v>86795.904291819941</v>
      </c>
      <c r="V38" s="273">
        <f>SUM(V11:V37)</f>
        <v>88465.056297431875</v>
      </c>
      <c r="W38" s="273">
        <f>SUM(W11:W37)</f>
        <v>90134.208303043779</v>
      </c>
      <c r="X38" s="273">
        <f>SUM(X11:X37)</f>
        <v>91803.360308655712</v>
      </c>
    </row>
  </sheetData>
  <mergeCells count="6">
    <mergeCell ref="A4:E4"/>
    <mergeCell ref="M9:N9"/>
    <mergeCell ref="T9:X9"/>
    <mergeCell ref="H9:L9"/>
    <mergeCell ref="D9:G9"/>
    <mergeCell ref="O9:S9"/>
  </mergeCells>
  <pageMargins left="0.70866141732283472" right="0.70866141732283472" top="0.74803149606299213" bottom="0.74803149606299213" header="0.31496062992125984" footer="0.31496062992125984"/>
  <pageSetup paperSize="9" orientation="landscape"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32"/>
  <sheetViews>
    <sheetView showGridLines="0" zoomScale="70" zoomScaleNormal="70" workbookViewId="0">
      <selection activeCell="C34" sqref="C34"/>
    </sheetView>
  </sheetViews>
  <sheetFormatPr baseColWidth="10" defaultRowHeight="14.25" x14ac:dyDescent="0.2"/>
  <cols>
    <col min="1" max="1" width="30.42578125" style="44" customWidth="1"/>
    <col min="2" max="2" width="36.140625" style="44" customWidth="1"/>
    <col min="3" max="3" width="20" style="44" customWidth="1"/>
    <col min="4" max="5" width="28.140625" style="44" customWidth="1"/>
    <col min="6" max="16384" width="11.42578125" style="44"/>
  </cols>
  <sheetData>
    <row r="2" spans="1:16" ht="15" x14ac:dyDescent="0.2">
      <c r="A2" s="208" t="s">
        <v>947</v>
      </c>
      <c r="B2" s="209"/>
      <c r="C2" s="209"/>
      <c r="D2" s="210" t="e">
        <f>'Beneficios Peaje'!#REF!</f>
        <v>#REF!</v>
      </c>
      <c r="E2" s="91"/>
      <c r="H2" s="211"/>
    </row>
    <row r="3" spans="1:16" x14ac:dyDescent="0.2">
      <c r="B3" s="91"/>
      <c r="C3" s="91"/>
      <c r="D3" s="212"/>
      <c r="E3" s="91"/>
      <c r="H3" s="137"/>
    </row>
    <row r="4" spans="1:16" ht="15" x14ac:dyDescent="0.25">
      <c r="A4" s="737" t="s">
        <v>1380</v>
      </c>
      <c r="B4" s="737"/>
      <c r="C4" s="737"/>
      <c r="D4" s="737"/>
      <c r="E4" s="737"/>
      <c r="H4" s="213"/>
    </row>
    <row r="5" spans="1:16" s="136" customFormat="1" ht="15" x14ac:dyDescent="0.25">
      <c r="A5" s="214"/>
      <c r="B5" s="214"/>
      <c r="C5" s="214"/>
      <c r="D5" s="214"/>
      <c r="E5" s="214"/>
      <c r="H5" s="215"/>
    </row>
    <row r="6" spans="1:16" s="136" customFormat="1" ht="15.75" x14ac:dyDescent="0.25">
      <c r="A6" s="327" t="s">
        <v>1391</v>
      </c>
      <c r="B6" s="319"/>
      <c r="C6" s="319"/>
      <c r="D6" s="319"/>
      <c r="E6" s="319"/>
      <c r="F6" s="44"/>
      <c r="G6" s="44"/>
      <c r="H6" s="44"/>
      <c r="I6" s="44"/>
      <c r="J6" s="44"/>
      <c r="K6" s="44"/>
      <c r="L6" s="44"/>
      <c r="M6" s="44"/>
      <c r="N6" s="44"/>
      <c r="O6" s="44"/>
      <c r="P6" s="44"/>
    </row>
    <row r="7" spans="1:16" x14ac:dyDescent="0.2">
      <c r="A7" s="231"/>
      <c r="B7" s="231"/>
      <c r="C7" s="231"/>
      <c r="D7" s="231"/>
      <c r="E7" s="231"/>
    </row>
    <row r="8" spans="1:16" ht="20.25" customHeight="1" x14ac:dyDescent="0.2">
      <c r="A8" s="735" t="s">
        <v>1409</v>
      </c>
      <c r="B8" s="735" t="s">
        <v>1410</v>
      </c>
      <c r="C8" s="735" t="s">
        <v>1399</v>
      </c>
      <c r="D8" s="735" t="s">
        <v>1400</v>
      </c>
      <c r="E8" s="735"/>
    </row>
    <row r="9" spans="1:16" ht="36.75" customHeight="1" x14ac:dyDescent="0.2">
      <c r="A9" s="735"/>
      <c r="B9" s="735"/>
      <c r="C9" s="735"/>
      <c r="D9" s="320" t="s">
        <v>1401</v>
      </c>
      <c r="E9" s="320" t="s">
        <v>1402</v>
      </c>
    </row>
    <row r="10" spans="1:16" ht="24" customHeight="1" x14ac:dyDescent="0.2">
      <c r="A10" s="321" t="s">
        <v>1403</v>
      </c>
      <c r="B10" s="321" t="s">
        <v>1057</v>
      </c>
      <c r="C10" s="321">
        <v>294.3</v>
      </c>
      <c r="D10" s="736" t="s">
        <v>1404</v>
      </c>
      <c r="E10" s="739" t="s">
        <v>1405</v>
      </c>
    </row>
    <row r="11" spans="1:16" ht="34.5" customHeight="1" x14ac:dyDescent="0.2">
      <c r="A11" s="321" t="s">
        <v>1175</v>
      </c>
      <c r="B11" s="321" t="s">
        <v>1055</v>
      </c>
      <c r="C11" s="321">
        <v>471.4</v>
      </c>
      <c r="D11" s="736"/>
      <c r="E11" s="739"/>
    </row>
    <row r="12" spans="1:16" x14ac:dyDescent="0.2">
      <c r="A12" s="231"/>
      <c r="B12" s="231"/>
      <c r="C12" s="231"/>
      <c r="D12" s="231"/>
      <c r="E12" s="231"/>
    </row>
    <row r="13" spans="1:16" ht="15" x14ac:dyDescent="0.25">
      <c r="A13" s="230" t="s">
        <v>1453</v>
      </c>
      <c r="B13" s="231"/>
      <c r="C13" s="329">
        <f>SUM(C10:C11)</f>
        <v>765.7</v>
      </c>
      <c r="D13" s="231"/>
      <c r="E13" s="231"/>
    </row>
    <row r="14" spans="1:16" x14ac:dyDescent="0.2">
      <c r="A14" s="231"/>
      <c r="B14" s="231"/>
      <c r="C14" s="231"/>
      <c r="D14" s="231"/>
      <c r="E14" s="231"/>
    </row>
    <row r="15" spans="1:16" ht="15" x14ac:dyDescent="0.25">
      <c r="A15" s="326" t="s">
        <v>1392</v>
      </c>
      <c r="B15" s="319"/>
      <c r="C15" s="319"/>
      <c r="D15" s="319"/>
      <c r="E15" s="319"/>
    </row>
    <row r="16" spans="1:16" x14ac:dyDescent="0.2">
      <c r="A16" s="231"/>
      <c r="B16" s="231"/>
      <c r="C16" s="231"/>
      <c r="D16" s="231"/>
      <c r="E16" s="231"/>
    </row>
    <row r="17" spans="1:5" ht="15" x14ac:dyDescent="0.2">
      <c r="A17" s="738" t="s">
        <v>1409</v>
      </c>
      <c r="B17" s="738" t="s">
        <v>1410</v>
      </c>
      <c r="C17" s="738" t="s">
        <v>1399</v>
      </c>
      <c r="D17" s="738" t="s">
        <v>1400</v>
      </c>
      <c r="E17" s="738"/>
    </row>
    <row r="18" spans="1:5" ht="30" x14ac:dyDescent="0.2">
      <c r="A18" s="738"/>
      <c r="B18" s="738"/>
      <c r="C18" s="738"/>
      <c r="D18" s="322" t="s">
        <v>1401</v>
      </c>
      <c r="E18" s="322" t="s">
        <v>1402</v>
      </c>
    </row>
    <row r="19" spans="1:5" ht="35.25" customHeight="1" x14ac:dyDescent="0.2">
      <c r="A19" s="323" t="s">
        <v>1175</v>
      </c>
      <c r="B19" s="323" t="s">
        <v>1055</v>
      </c>
      <c r="C19" s="323">
        <v>471.4</v>
      </c>
      <c r="D19" s="324" t="s">
        <v>1455</v>
      </c>
      <c r="E19" s="324" t="s">
        <v>1405</v>
      </c>
    </row>
    <row r="20" spans="1:5" x14ac:dyDescent="0.2">
      <c r="A20" s="323"/>
      <c r="B20" s="323"/>
      <c r="C20" s="323"/>
      <c r="D20" s="324"/>
      <c r="E20" s="324"/>
    </row>
    <row r="21" spans="1:5" hidden="1" x14ac:dyDescent="0.2">
      <c r="A21" s="323"/>
      <c r="B21" s="323"/>
      <c r="C21" s="323"/>
      <c r="D21" s="324"/>
      <c r="E21" s="324"/>
    </row>
    <row r="22" spans="1:5" hidden="1" x14ac:dyDescent="0.2">
      <c r="A22" s="323"/>
      <c r="B22" s="323"/>
      <c r="C22" s="323"/>
      <c r="D22" s="324"/>
      <c r="E22" s="324"/>
    </row>
    <row r="23" spans="1:5" hidden="1" x14ac:dyDescent="0.2">
      <c r="A23" s="323"/>
      <c r="B23" s="323"/>
      <c r="C23" s="323"/>
      <c r="D23" s="324"/>
      <c r="E23" s="324"/>
    </row>
    <row r="24" spans="1:5" hidden="1" x14ac:dyDescent="0.2">
      <c r="A24" s="323"/>
      <c r="B24" s="323"/>
      <c r="C24" s="323"/>
      <c r="D24" s="324"/>
      <c r="E24" s="324"/>
    </row>
    <row r="25" spans="1:5" hidden="1" x14ac:dyDescent="0.2">
      <c r="A25" s="323"/>
      <c r="B25" s="323"/>
      <c r="C25" s="323"/>
      <c r="D25" s="324"/>
      <c r="E25" s="324"/>
    </row>
    <row r="26" spans="1:5" hidden="1" x14ac:dyDescent="0.2">
      <c r="A26" s="323"/>
      <c r="B26" s="323"/>
      <c r="C26" s="323"/>
      <c r="D26" s="324"/>
      <c r="E26" s="324"/>
    </row>
    <row r="27" spans="1:5" x14ac:dyDescent="0.2">
      <c r="A27" s="231"/>
      <c r="B27" s="231"/>
      <c r="C27" s="231"/>
      <c r="D27" s="231"/>
      <c r="E27" s="231"/>
    </row>
    <row r="28" spans="1:5" x14ac:dyDescent="0.2">
      <c r="A28" s="231" t="s">
        <v>1453</v>
      </c>
      <c r="B28" s="231"/>
      <c r="C28" s="325">
        <f>SUM(C19:C26)</f>
        <v>471.4</v>
      </c>
      <c r="D28" s="231"/>
      <c r="E28" s="231"/>
    </row>
    <row r="29" spans="1:5" x14ac:dyDescent="0.2">
      <c r="A29" s="231"/>
      <c r="B29" s="231"/>
      <c r="C29" s="231"/>
      <c r="D29" s="231"/>
      <c r="E29" s="231"/>
    </row>
    <row r="30" spans="1:5" x14ac:dyDescent="0.2">
      <c r="A30" s="231"/>
      <c r="B30" s="231"/>
      <c r="C30" s="231"/>
      <c r="D30" s="231"/>
      <c r="E30" s="231"/>
    </row>
    <row r="31" spans="1:5" ht="15" x14ac:dyDescent="0.25">
      <c r="A31" s="230" t="s">
        <v>1412</v>
      </c>
      <c r="B31" s="231"/>
      <c r="C31" s="328">
        <f>(C13-C28)*'Beneficios Perdidas'!C46</f>
        <v>139.62522603070849</v>
      </c>
      <c r="D31" s="231"/>
      <c r="E31" s="231"/>
    </row>
    <row r="32" spans="1:5" x14ac:dyDescent="0.2">
      <c r="A32" s="231"/>
      <c r="B32" s="231"/>
      <c r="C32" s="231"/>
      <c r="D32" s="231"/>
      <c r="E32" s="231"/>
    </row>
  </sheetData>
  <mergeCells count="11">
    <mergeCell ref="A8:A9"/>
    <mergeCell ref="D8:E8"/>
    <mergeCell ref="D10:D11"/>
    <mergeCell ref="A4:E4"/>
    <mergeCell ref="A17:A18"/>
    <mergeCell ref="B17:B18"/>
    <mergeCell ref="C17:C18"/>
    <mergeCell ref="D17:E17"/>
    <mergeCell ref="B8:B9"/>
    <mergeCell ref="C8:C9"/>
    <mergeCell ref="E10:E11"/>
  </mergeCells>
  <pageMargins left="0.7" right="0.7" top="0.75" bottom="0.75" header="0.3" footer="0.3"/>
  <pageSetup paperSize="9"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465"/>
  <sheetViews>
    <sheetView showGridLines="0" zoomScale="70" zoomScaleNormal="70" workbookViewId="0">
      <pane ySplit="6" topLeftCell="A443" activePane="bottomLeft" state="frozen"/>
      <selection pane="bottomLeft" activeCell="L439" sqref="L439"/>
    </sheetView>
  </sheetViews>
  <sheetFormatPr baseColWidth="10" defaultRowHeight="12.75" x14ac:dyDescent="0.2"/>
  <cols>
    <col min="1" max="1" width="17.5703125" style="45" customWidth="1"/>
    <col min="2" max="2" width="113.140625" style="45" bestFit="1" customWidth="1"/>
    <col min="3" max="6" width="21.42578125" style="45" customWidth="1"/>
    <col min="7" max="8" width="8.5703125" style="45" customWidth="1"/>
    <col min="9" max="9" width="33.85546875" style="45" bestFit="1" customWidth="1"/>
    <col min="10" max="16384" width="11.42578125" style="45"/>
  </cols>
  <sheetData>
    <row r="2" spans="1:9" x14ac:dyDescent="0.2">
      <c r="A2" s="51" t="s">
        <v>966</v>
      </c>
      <c r="B2" s="51"/>
      <c r="C2" s="51"/>
      <c r="D2" s="51"/>
      <c r="E2" s="51"/>
      <c r="F2" s="51"/>
      <c r="G2" s="51"/>
      <c r="H2" s="51"/>
      <c r="I2" s="51"/>
    </row>
    <row r="4" spans="1:9" x14ac:dyDescent="0.2">
      <c r="A4" s="52" t="s">
        <v>967</v>
      </c>
      <c r="B4" s="45" t="s">
        <v>968</v>
      </c>
    </row>
    <row r="6" spans="1:9" ht="25.5" x14ac:dyDescent="0.2">
      <c r="A6" s="53" t="s">
        <v>50</v>
      </c>
      <c r="B6" s="53" t="s">
        <v>51</v>
      </c>
      <c r="C6" s="53" t="s">
        <v>52</v>
      </c>
      <c r="D6" s="53" t="s">
        <v>969</v>
      </c>
      <c r="E6" s="53" t="s">
        <v>970</v>
      </c>
      <c r="F6" s="53" t="s">
        <v>971</v>
      </c>
      <c r="G6" s="53" t="s">
        <v>53</v>
      </c>
      <c r="H6" s="53" t="s">
        <v>946</v>
      </c>
      <c r="I6" s="53" t="s">
        <v>972</v>
      </c>
    </row>
    <row r="7" spans="1:9" x14ac:dyDescent="0.2">
      <c r="A7" s="54" t="s">
        <v>54</v>
      </c>
      <c r="B7" s="55" t="s">
        <v>55</v>
      </c>
      <c r="C7" s="55">
        <v>56124000</v>
      </c>
      <c r="D7" s="55"/>
      <c r="E7" s="55"/>
      <c r="F7" s="55"/>
      <c r="G7" s="56">
        <v>30</v>
      </c>
      <c r="H7" s="56">
        <v>2</v>
      </c>
      <c r="I7" s="54" t="s">
        <v>973</v>
      </c>
    </row>
    <row r="8" spans="1:9" x14ac:dyDescent="0.2">
      <c r="A8" s="57" t="s">
        <v>56</v>
      </c>
      <c r="B8" s="58" t="s">
        <v>57</v>
      </c>
      <c r="C8" s="58">
        <v>58634000</v>
      </c>
      <c r="D8" s="58"/>
      <c r="E8" s="58"/>
      <c r="F8" s="58"/>
      <c r="G8" s="59">
        <v>30</v>
      </c>
      <c r="H8" s="59">
        <v>2</v>
      </c>
      <c r="I8" s="57" t="s">
        <v>973</v>
      </c>
    </row>
    <row r="9" spans="1:9" x14ac:dyDescent="0.2">
      <c r="A9" s="54" t="s">
        <v>58</v>
      </c>
      <c r="B9" s="55" t="s">
        <v>59</v>
      </c>
      <c r="C9" s="55">
        <v>64622000</v>
      </c>
      <c r="D9" s="55"/>
      <c r="E9" s="55"/>
      <c r="F9" s="55"/>
      <c r="G9" s="56">
        <v>30</v>
      </c>
      <c r="H9" s="56">
        <v>2</v>
      </c>
      <c r="I9" s="54" t="s">
        <v>973</v>
      </c>
    </row>
    <row r="10" spans="1:9" x14ac:dyDescent="0.2">
      <c r="A10" s="57" t="s">
        <v>60</v>
      </c>
      <c r="B10" s="58" t="s">
        <v>61</v>
      </c>
      <c r="C10" s="58">
        <v>75879000</v>
      </c>
      <c r="D10" s="58"/>
      <c r="E10" s="58"/>
      <c r="F10" s="58"/>
      <c r="G10" s="59">
        <v>30</v>
      </c>
      <c r="H10" s="59">
        <v>2</v>
      </c>
      <c r="I10" s="57" t="s">
        <v>973</v>
      </c>
    </row>
    <row r="11" spans="1:9" x14ac:dyDescent="0.2">
      <c r="A11" s="54" t="s">
        <v>62</v>
      </c>
      <c r="B11" s="55" t="s">
        <v>63</v>
      </c>
      <c r="C11" s="55">
        <v>95701000</v>
      </c>
      <c r="D11" s="55"/>
      <c r="E11" s="55"/>
      <c r="F11" s="55"/>
      <c r="G11" s="56">
        <v>30</v>
      </c>
      <c r="H11" s="56">
        <v>2</v>
      </c>
      <c r="I11" s="54" t="s">
        <v>973</v>
      </c>
    </row>
    <row r="12" spans="1:9" x14ac:dyDescent="0.2">
      <c r="A12" s="57" t="s">
        <v>64</v>
      </c>
      <c r="B12" s="58" t="s">
        <v>65</v>
      </c>
      <c r="C12" s="58">
        <v>34946000</v>
      </c>
      <c r="D12" s="58"/>
      <c r="E12" s="58"/>
      <c r="F12" s="58"/>
      <c r="G12" s="59">
        <v>30</v>
      </c>
      <c r="H12" s="59">
        <v>2</v>
      </c>
      <c r="I12" s="57" t="s">
        <v>973</v>
      </c>
    </row>
    <row r="13" spans="1:9" x14ac:dyDescent="0.2">
      <c r="A13" s="54" t="s">
        <v>66</v>
      </c>
      <c r="B13" s="55" t="s">
        <v>67</v>
      </c>
      <c r="C13" s="55">
        <v>37456000</v>
      </c>
      <c r="D13" s="55"/>
      <c r="E13" s="55"/>
      <c r="F13" s="55"/>
      <c r="G13" s="56">
        <v>30</v>
      </c>
      <c r="H13" s="56">
        <v>2</v>
      </c>
      <c r="I13" s="54" t="s">
        <v>973</v>
      </c>
    </row>
    <row r="14" spans="1:9" x14ac:dyDescent="0.2">
      <c r="A14" s="57" t="s">
        <v>68</v>
      </c>
      <c r="B14" s="58" t="s">
        <v>69</v>
      </c>
      <c r="C14" s="58">
        <v>43239000</v>
      </c>
      <c r="D14" s="58"/>
      <c r="E14" s="58"/>
      <c r="F14" s="58"/>
      <c r="G14" s="59">
        <v>30</v>
      </c>
      <c r="H14" s="59">
        <v>2</v>
      </c>
      <c r="I14" s="57" t="s">
        <v>973</v>
      </c>
    </row>
    <row r="15" spans="1:9" x14ac:dyDescent="0.2">
      <c r="A15" s="54" t="s">
        <v>70</v>
      </c>
      <c r="B15" s="55" t="s">
        <v>71</v>
      </c>
      <c r="C15" s="55">
        <v>54701000</v>
      </c>
      <c r="D15" s="55"/>
      <c r="E15" s="55"/>
      <c r="F15" s="55"/>
      <c r="G15" s="56">
        <v>30</v>
      </c>
      <c r="H15" s="56">
        <v>2</v>
      </c>
      <c r="I15" s="54" t="s">
        <v>973</v>
      </c>
    </row>
    <row r="16" spans="1:9" x14ac:dyDescent="0.2">
      <c r="A16" s="57" t="s">
        <v>72</v>
      </c>
      <c r="B16" s="58" t="s">
        <v>73</v>
      </c>
      <c r="C16" s="58">
        <v>74523000</v>
      </c>
      <c r="D16" s="58"/>
      <c r="E16" s="58"/>
      <c r="F16" s="58"/>
      <c r="G16" s="59">
        <v>30</v>
      </c>
      <c r="H16" s="59">
        <v>2</v>
      </c>
      <c r="I16" s="57" t="s">
        <v>973</v>
      </c>
    </row>
    <row r="17" spans="1:9" x14ac:dyDescent="0.2">
      <c r="A17" s="54" t="s">
        <v>74</v>
      </c>
      <c r="B17" s="55" t="s">
        <v>75</v>
      </c>
      <c r="C17" s="55">
        <v>68718000</v>
      </c>
      <c r="D17" s="55"/>
      <c r="E17" s="55"/>
      <c r="F17" s="55"/>
      <c r="G17" s="56">
        <v>30</v>
      </c>
      <c r="H17" s="56">
        <v>2</v>
      </c>
      <c r="I17" s="54" t="s">
        <v>973</v>
      </c>
    </row>
    <row r="18" spans="1:9" x14ac:dyDescent="0.2">
      <c r="A18" s="57" t="s">
        <v>76</v>
      </c>
      <c r="B18" s="58" t="s">
        <v>77</v>
      </c>
      <c r="C18" s="58">
        <v>72306000</v>
      </c>
      <c r="D18" s="58"/>
      <c r="E18" s="58"/>
      <c r="F18" s="58"/>
      <c r="G18" s="59">
        <v>30</v>
      </c>
      <c r="H18" s="59">
        <v>2</v>
      </c>
      <c r="I18" s="57" t="s">
        <v>973</v>
      </c>
    </row>
    <row r="19" spans="1:9" x14ac:dyDescent="0.2">
      <c r="A19" s="54" t="s">
        <v>78</v>
      </c>
      <c r="B19" s="55" t="s">
        <v>79</v>
      </c>
      <c r="C19" s="55">
        <v>80285000</v>
      </c>
      <c r="D19" s="55"/>
      <c r="E19" s="55"/>
      <c r="F19" s="55"/>
      <c r="G19" s="56">
        <v>30</v>
      </c>
      <c r="H19" s="56">
        <v>2</v>
      </c>
      <c r="I19" s="54" t="s">
        <v>973</v>
      </c>
    </row>
    <row r="20" spans="1:9" x14ac:dyDescent="0.2">
      <c r="A20" s="57" t="s">
        <v>80</v>
      </c>
      <c r="B20" s="58" t="s">
        <v>81</v>
      </c>
      <c r="C20" s="58">
        <v>95206000</v>
      </c>
      <c r="D20" s="58"/>
      <c r="E20" s="58"/>
      <c r="F20" s="58"/>
      <c r="G20" s="59">
        <v>30</v>
      </c>
      <c r="H20" s="59">
        <v>2</v>
      </c>
      <c r="I20" s="57" t="s">
        <v>973</v>
      </c>
    </row>
    <row r="21" spans="1:9" x14ac:dyDescent="0.2">
      <c r="A21" s="54" t="s">
        <v>82</v>
      </c>
      <c r="B21" s="55" t="s">
        <v>83</v>
      </c>
      <c r="C21" s="55">
        <v>121530000</v>
      </c>
      <c r="D21" s="55"/>
      <c r="E21" s="55"/>
      <c r="F21" s="55"/>
      <c r="G21" s="56">
        <v>30</v>
      </c>
      <c r="H21" s="56">
        <v>2</v>
      </c>
      <c r="I21" s="54" t="s">
        <v>973</v>
      </c>
    </row>
    <row r="22" spans="1:9" x14ac:dyDescent="0.2">
      <c r="A22" s="57" t="s">
        <v>84</v>
      </c>
      <c r="B22" s="58" t="s">
        <v>85</v>
      </c>
      <c r="C22" s="58">
        <v>45695000</v>
      </c>
      <c r="D22" s="58"/>
      <c r="E22" s="58"/>
      <c r="F22" s="58"/>
      <c r="G22" s="59">
        <v>30</v>
      </c>
      <c r="H22" s="59">
        <v>2</v>
      </c>
      <c r="I22" s="57" t="s">
        <v>973</v>
      </c>
    </row>
    <row r="23" spans="1:9" x14ac:dyDescent="0.2">
      <c r="A23" s="54" t="s">
        <v>86</v>
      </c>
      <c r="B23" s="55" t="s">
        <v>87</v>
      </c>
      <c r="C23" s="55">
        <v>49282000</v>
      </c>
      <c r="D23" s="55"/>
      <c r="E23" s="55"/>
      <c r="F23" s="55"/>
      <c r="G23" s="56">
        <v>30</v>
      </c>
      <c r="H23" s="56">
        <v>2</v>
      </c>
      <c r="I23" s="54" t="s">
        <v>973</v>
      </c>
    </row>
    <row r="24" spans="1:9" x14ac:dyDescent="0.2">
      <c r="A24" s="57" t="s">
        <v>88</v>
      </c>
      <c r="B24" s="58" t="s">
        <v>89</v>
      </c>
      <c r="C24" s="58">
        <v>56976000</v>
      </c>
      <c r="D24" s="58"/>
      <c r="E24" s="58"/>
      <c r="F24" s="58"/>
      <c r="G24" s="59">
        <v>30</v>
      </c>
      <c r="H24" s="59">
        <v>2</v>
      </c>
      <c r="I24" s="57" t="s">
        <v>973</v>
      </c>
    </row>
    <row r="25" spans="1:9" x14ac:dyDescent="0.2">
      <c r="A25" s="54" t="s">
        <v>90</v>
      </c>
      <c r="B25" s="55" t="s">
        <v>91</v>
      </c>
      <c r="C25" s="55">
        <v>72183000</v>
      </c>
      <c r="D25" s="55"/>
      <c r="E25" s="55"/>
      <c r="F25" s="55"/>
      <c r="G25" s="56">
        <v>30</v>
      </c>
      <c r="H25" s="56">
        <v>2</v>
      </c>
      <c r="I25" s="54" t="s">
        <v>973</v>
      </c>
    </row>
    <row r="26" spans="1:9" x14ac:dyDescent="0.2">
      <c r="A26" s="57" t="s">
        <v>92</v>
      </c>
      <c r="B26" s="58" t="s">
        <v>93</v>
      </c>
      <c r="C26" s="58">
        <v>98507000</v>
      </c>
      <c r="D26" s="58"/>
      <c r="E26" s="58"/>
      <c r="F26" s="58"/>
      <c r="G26" s="59">
        <v>30</v>
      </c>
      <c r="H26" s="59">
        <v>2</v>
      </c>
      <c r="I26" s="57" t="s">
        <v>973</v>
      </c>
    </row>
    <row r="27" spans="1:9" x14ac:dyDescent="0.2">
      <c r="A27" s="54" t="s">
        <v>94</v>
      </c>
      <c r="B27" s="55" t="s">
        <v>95</v>
      </c>
      <c r="C27" s="55">
        <v>49190000</v>
      </c>
      <c r="D27" s="55"/>
      <c r="E27" s="55"/>
      <c r="F27" s="55"/>
      <c r="G27" s="56">
        <v>30</v>
      </c>
      <c r="H27" s="56">
        <v>2</v>
      </c>
      <c r="I27" s="54" t="s">
        <v>973</v>
      </c>
    </row>
    <row r="28" spans="1:9" x14ac:dyDescent="0.2">
      <c r="A28" s="57" t="s">
        <v>96</v>
      </c>
      <c r="B28" s="58" t="s">
        <v>97</v>
      </c>
      <c r="C28" s="58">
        <v>50858000</v>
      </c>
      <c r="D28" s="58"/>
      <c r="E28" s="58"/>
      <c r="F28" s="58"/>
      <c r="G28" s="59">
        <v>30</v>
      </c>
      <c r="H28" s="59">
        <v>2</v>
      </c>
      <c r="I28" s="57" t="s">
        <v>973</v>
      </c>
    </row>
    <row r="29" spans="1:9" x14ac:dyDescent="0.2">
      <c r="A29" s="54" t="s">
        <v>98</v>
      </c>
      <c r="B29" s="55" t="s">
        <v>99</v>
      </c>
      <c r="C29" s="55">
        <v>62309000</v>
      </c>
      <c r="D29" s="55"/>
      <c r="E29" s="55"/>
      <c r="F29" s="55"/>
      <c r="G29" s="56">
        <v>30</v>
      </c>
      <c r="H29" s="56">
        <v>2</v>
      </c>
      <c r="I29" s="54" t="s">
        <v>973</v>
      </c>
    </row>
    <row r="30" spans="1:9" x14ac:dyDescent="0.2">
      <c r="A30" s="57" t="s">
        <v>100</v>
      </c>
      <c r="B30" s="58" t="s">
        <v>101</v>
      </c>
      <c r="C30" s="58">
        <v>29978000</v>
      </c>
      <c r="D30" s="58"/>
      <c r="E30" s="58"/>
      <c r="F30" s="58"/>
      <c r="G30" s="59">
        <v>30</v>
      </c>
      <c r="H30" s="59">
        <v>2</v>
      </c>
      <c r="I30" s="57" t="s">
        <v>973</v>
      </c>
    </row>
    <row r="31" spans="1:9" x14ac:dyDescent="0.2">
      <c r="A31" s="54" t="s">
        <v>102</v>
      </c>
      <c r="B31" s="55" t="s">
        <v>103</v>
      </c>
      <c r="C31" s="55">
        <v>31647000</v>
      </c>
      <c r="D31" s="55"/>
      <c r="E31" s="55"/>
      <c r="F31" s="55"/>
      <c r="G31" s="56">
        <v>30</v>
      </c>
      <c r="H31" s="56">
        <v>2</v>
      </c>
      <c r="I31" s="54" t="s">
        <v>973</v>
      </c>
    </row>
    <row r="32" spans="1:9" x14ac:dyDescent="0.2">
      <c r="A32" s="57" t="s">
        <v>104</v>
      </c>
      <c r="B32" s="58" t="s">
        <v>105</v>
      </c>
      <c r="C32" s="58">
        <v>43097000</v>
      </c>
      <c r="D32" s="58"/>
      <c r="E32" s="58"/>
      <c r="F32" s="58"/>
      <c r="G32" s="59">
        <v>30</v>
      </c>
      <c r="H32" s="59">
        <v>2</v>
      </c>
      <c r="I32" s="57" t="s">
        <v>973</v>
      </c>
    </row>
    <row r="33" spans="1:9" x14ac:dyDescent="0.2">
      <c r="A33" s="54" t="s">
        <v>106</v>
      </c>
      <c r="B33" s="55" t="s">
        <v>107</v>
      </c>
      <c r="C33" s="55">
        <v>34632000</v>
      </c>
      <c r="D33" s="55"/>
      <c r="E33" s="55"/>
      <c r="F33" s="55"/>
      <c r="G33" s="56">
        <v>30</v>
      </c>
      <c r="H33" s="56">
        <v>2</v>
      </c>
      <c r="I33" s="54" t="s">
        <v>973</v>
      </c>
    </row>
    <row r="34" spans="1:9" x14ac:dyDescent="0.2">
      <c r="A34" s="57" t="s">
        <v>108</v>
      </c>
      <c r="B34" s="58" t="s">
        <v>109</v>
      </c>
      <c r="C34" s="58">
        <v>37235000</v>
      </c>
      <c r="D34" s="58"/>
      <c r="E34" s="58"/>
      <c r="F34" s="58"/>
      <c r="G34" s="59">
        <v>30</v>
      </c>
      <c r="H34" s="59">
        <v>2</v>
      </c>
      <c r="I34" s="57" t="s">
        <v>973</v>
      </c>
    </row>
    <row r="35" spans="1:9" x14ac:dyDescent="0.2">
      <c r="A35" s="54" t="s">
        <v>110</v>
      </c>
      <c r="B35" s="55" t="s">
        <v>111</v>
      </c>
      <c r="C35" s="55">
        <v>43320000</v>
      </c>
      <c r="D35" s="55"/>
      <c r="E35" s="55"/>
      <c r="F35" s="55"/>
      <c r="G35" s="56">
        <v>30</v>
      </c>
      <c r="H35" s="56">
        <v>2</v>
      </c>
      <c r="I35" s="54" t="s">
        <v>973</v>
      </c>
    </row>
    <row r="36" spans="1:9" x14ac:dyDescent="0.2">
      <c r="A36" s="57" t="s">
        <v>112</v>
      </c>
      <c r="B36" s="58" t="s">
        <v>113</v>
      </c>
      <c r="C36" s="58">
        <v>55379000</v>
      </c>
      <c r="D36" s="58"/>
      <c r="E36" s="58"/>
      <c r="F36" s="58"/>
      <c r="G36" s="59">
        <v>30</v>
      </c>
      <c r="H36" s="59">
        <v>2</v>
      </c>
      <c r="I36" s="57" t="s">
        <v>973</v>
      </c>
    </row>
    <row r="37" spans="1:9" x14ac:dyDescent="0.2">
      <c r="A37" s="54" t="s">
        <v>114</v>
      </c>
      <c r="B37" s="55" t="s">
        <v>115</v>
      </c>
      <c r="C37" s="55">
        <v>76235000</v>
      </c>
      <c r="D37" s="55"/>
      <c r="E37" s="55"/>
      <c r="F37" s="55"/>
      <c r="G37" s="56">
        <v>30</v>
      </c>
      <c r="H37" s="56">
        <v>2</v>
      </c>
      <c r="I37" s="54" t="s">
        <v>973</v>
      </c>
    </row>
    <row r="38" spans="1:9" x14ac:dyDescent="0.2">
      <c r="A38" s="57" t="s">
        <v>116</v>
      </c>
      <c r="B38" s="58" t="s">
        <v>117</v>
      </c>
      <c r="C38" s="58">
        <v>29401000</v>
      </c>
      <c r="D38" s="58"/>
      <c r="E38" s="58"/>
      <c r="F38" s="58"/>
      <c r="G38" s="59">
        <v>30</v>
      </c>
      <c r="H38" s="59">
        <v>2</v>
      </c>
      <c r="I38" s="57" t="s">
        <v>973</v>
      </c>
    </row>
    <row r="39" spans="1:9" x14ac:dyDescent="0.2">
      <c r="A39" s="54" t="s">
        <v>118</v>
      </c>
      <c r="B39" s="55" t="s">
        <v>119</v>
      </c>
      <c r="C39" s="55">
        <v>32004000</v>
      </c>
      <c r="D39" s="55"/>
      <c r="E39" s="55"/>
      <c r="F39" s="55"/>
      <c r="G39" s="56">
        <v>30</v>
      </c>
      <c r="H39" s="56">
        <v>2</v>
      </c>
      <c r="I39" s="54" t="s">
        <v>973</v>
      </c>
    </row>
    <row r="40" spans="1:9" x14ac:dyDescent="0.2">
      <c r="A40" s="57" t="s">
        <v>120</v>
      </c>
      <c r="B40" s="58" t="s">
        <v>121</v>
      </c>
      <c r="C40" s="58">
        <v>38074000</v>
      </c>
      <c r="D40" s="58"/>
      <c r="E40" s="58"/>
      <c r="F40" s="58"/>
      <c r="G40" s="59">
        <v>30</v>
      </c>
      <c r="H40" s="59">
        <v>2</v>
      </c>
      <c r="I40" s="57" t="s">
        <v>973</v>
      </c>
    </row>
    <row r="41" spans="1:9" x14ac:dyDescent="0.2">
      <c r="A41" s="54" t="s">
        <v>122</v>
      </c>
      <c r="B41" s="55" t="s">
        <v>123</v>
      </c>
      <c r="C41" s="55">
        <v>50148000</v>
      </c>
      <c r="D41" s="55"/>
      <c r="E41" s="55"/>
      <c r="F41" s="55"/>
      <c r="G41" s="56">
        <v>30</v>
      </c>
      <c r="H41" s="56">
        <v>2</v>
      </c>
      <c r="I41" s="54" t="s">
        <v>973</v>
      </c>
    </row>
    <row r="42" spans="1:9" x14ac:dyDescent="0.2">
      <c r="A42" s="57" t="s">
        <v>124</v>
      </c>
      <c r="B42" s="58" t="s">
        <v>125</v>
      </c>
      <c r="C42" s="58">
        <v>70794000</v>
      </c>
      <c r="D42" s="58"/>
      <c r="E42" s="58"/>
      <c r="F42" s="58"/>
      <c r="G42" s="59">
        <v>30</v>
      </c>
      <c r="H42" s="59">
        <v>2</v>
      </c>
      <c r="I42" s="57" t="s">
        <v>973</v>
      </c>
    </row>
    <row r="43" spans="1:9" x14ac:dyDescent="0.2">
      <c r="A43" s="54" t="s">
        <v>126</v>
      </c>
      <c r="B43" s="55" t="s">
        <v>127</v>
      </c>
      <c r="C43" s="55">
        <v>43985000</v>
      </c>
      <c r="D43" s="55"/>
      <c r="E43" s="55"/>
      <c r="F43" s="55"/>
      <c r="G43" s="56">
        <v>30</v>
      </c>
      <c r="H43" s="56">
        <v>2</v>
      </c>
      <c r="I43" s="54" t="s">
        <v>973</v>
      </c>
    </row>
    <row r="44" spans="1:9" x14ac:dyDescent="0.2">
      <c r="A44" s="57" t="s">
        <v>128</v>
      </c>
      <c r="B44" s="58" t="s">
        <v>129</v>
      </c>
      <c r="C44" s="58">
        <v>46830000</v>
      </c>
      <c r="D44" s="58"/>
      <c r="E44" s="58"/>
      <c r="F44" s="58"/>
      <c r="G44" s="59">
        <v>30</v>
      </c>
      <c r="H44" s="59">
        <v>2</v>
      </c>
      <c r="I44" s="57" t="s">
        <v>973</v>
      </c>
    </row>
    <row r="45" spans="1:9" x14ac:dyDescent="0.2">
      <c r="A45" s="54" t="s">
        <v>130</v>
      </c>
      <c r="B45" s="55" t="s">
        <v>131</v>
      </c>
      <c r="C45" s="55">
        <v>52899000</v>
      </c>
      <c r="D45" s="55"/>
      <c r="E45" s="55"/>
      <c r="F45" s="55"/>
      <c r="G45" s="56">
        <v>30</v>
      </c>
      <c r="H45" s="56">
        <v>2</v>
      </c>
      <c r="I45" s="54" t="s">
        <v>973</v>
      </c>
    </row>
    <row r="46" spans="1:9" x14ac:dyDescent="0.2">
      <c r="A46" s="57" t="s">
        <v>132</v>
      </c>
      <c r="B46" s="58" t="s">
        <v>133</v>
      </c>
      <c r="C46" s="58">
        <v>64905000</v>
      </c>
      <c r="D46" s="58"/>
      <c r="E46" s="58"/>
      <c r="F46" s="58"/>
      <c r="G46" s="59">
        <v>30</v>
      </c>
      <c r="H46" s="59">
        <v>2</v>
      </c>
      <c r="I46" s="57" t="s">
        <v>973</v>
      </c>
    </row>
    <row r="47" spans="1:9" x14ac:dyDescent="0.2">
      <c r="A47" s="54" t="s">
        <v>134</v>
      </c>
      <c r="B47" s="55" t="s">
        <v>135</v>
      </c>
      <c r="C47" s="55">
        <v>85682000</v>
      </c>
      <c r="D47" s="55"/>
      <c r="E47" s="55"/>
      <c r="F47" s="55"/>
      <c r="G47" s="56">
        <v>30</v>
      </c>
      <c r="H47" s="56">
        <v>2</v>
      </c>
      <c r="I47" s="54" t="s">
        <v>973</v>
      </c>
    </row>
    <row r="48" spans="1:9" x14ac:dyDescent="0.2">
      <c r="A48" s="57" t="s">
        <v>136</v>
      </c>
      <c r="B48" s="58" t="s">
        <v>137</v>
      </c>
      <c r="C48" s="58">
        <v>36841000</v>
      </c>
      <c r="D48" s="58"/>
      <c r="E48" s="58"/>
      <c r="F48" s="58"/>
      <c r="G48" s="59">
        <v>30</v>
      </c>
      <c r="H48" s="59">
        <v>2</v>
      </c>
      <c r="I48" s="57" t="s">
        <v>973</v>
      </c>
    </row>
    <row r="49" spans="1:9" x14ac:dyDescent="0.2">
      <c r="A49" s="54" t="s">
        <v>138</v>
      </c>
      <c r="B49" s="55" t="s">
        <v>139</v>
      </c>
      <c r="C49" s="55">
        <v>39686000</v>
      </c>
      <c r="D49" s="55"/>
      <c r="E49" s="55"/>
      <c r="F49" s="55"/>
      <c r="G49" s="56">
        <v>30</v>
      </c>
      <c r="H49" s="56">
        <v>2</v>
      </c>
      <c r="I49" s="54" t="s">
        <v>973</v>
      </c>
    </row>
    <row r="50" spans="1:9" x14ac:dyDescent="0.2">
      <c r="A50" s="57" t="s">
        <v>140</v>
      </c>
      <c r="B50" s="58" t="s">
        <v>141</v>
      </c>
      <c r="C50" s="58">
        <v>45683000</v>
      </c>
      <c r="D50" s="58"/>
      <c r="E50" s="58"/>
      <c r="F50" s="58"/>
      <c r="G50" s="59">
        <v>30</v>
      </c>
      <c r="H50" s="59">
        <v>2</v>
      </c>
      <c r="I50" s="57" t="s">
        <v>973</v>
      </c>
    </row>
    <row r="51" spans="1:9" x14ac:dyDescent="0.2">
      <c r="A51" s="54" t="s">
        <v>142</v>
      </c>
      <c r="B51" s="55" t="s">
        <v>143</v>
      </c>
      <c r="C51" s="55">
        <v>57761000</v>
      </c>
      <c r="D51" s="55"/>
      <c r="E51" s="55"/>
      <c r="F51" s="55"/>
      <c r="G51" s="56">
        <v>30</v>
      </c>
      <c r="H51" s="56">
        <v>2</v>
      </c>
      <c r="I51" s="54" t="s">
        <v>973</v>
      </c>
    </row>
    <row r="52" spans="1:9" x14ac:dyDescent="0.2">
      <c r="A52" s="57" t="s">
        <v>144</v>
      </c>
      <c r="B52" s="58" t="s">
        <v>145</v>
      </c>
      <c r="C52" s="58">
        <v>78538000</v>
      </c>
      <c r="D52" s="58"/>
      <c r="E52" s="58"/>
      <c r="F52" s="58"/>
      <c r="G52" s="59">
        <v>30</v>
      </c>
      <c r="H52" s="59">
        <v>2</v>
      </c>
      <c r="I52" s="57" t="s">
        <v>973</v>
      </c>
    </row>
    <row r="53" spans="1:9" x14ac:dyDescent="0.2">
      <c r="A53" s="54" t="s">
        <v>146</v>
      </c>
      <c r="B53" s="55" t="s">
        <v>147</v>
      </c>
      <c r="C53" s="55">
        <v>30318000</v>
      </c>
      <c r="D53" s="55"/>
      <c r="E53" s="55"/>
      <c r="F53" s="55"/>
      <c r="G53" s="56">
        <v>30</v>
      </c>
      <c r="H53" s="56">
        <v>2</v>
      </c>
      <c r="I53" s="54" t="s">
        <v>973</v>
      </c>
    </row>
    <row r="54" spans="1:9" x14ac:dyDescent="0.2">
      <c r="A54" s="57" t="s">
        <v>148</v>
      </c>
      <c r="B54" s="58" t="s">
        <v>149</v>
      </c>
      <c r="C54" s="58">
        <v>32062000</v>
      </c>
      <c r="D54" s="58"/>
      <c r="E54" s="58"/>
      <c r="F54" s="58"/>
      <c r="G54" s="59">
        <v>30</v>
      </c>
      <c r="H54" s="59">
        <v>2</v>
      </c>
      <c r="I54" s="57" t="s">
        <v>973</v>
      </c>
    </row>
    <row r="55" spans="1:9" x14ac:dyDescent="0.2">
      <c r="A55" s="54" t="s">
        <v>150</v>
      </c>
      <c r="B55" s="55" t="s">
        <v>151</v>
      </c>
      <c r="C55" s="55">
        <v>44250000</v>
      </c>
      <c r="D55" s="55"/>
      <c r="E55" s="55"/>
      <c r="F55" s="55"/>
      <c r="G55" s="56">
        <v>30</v>
      </c>
      <c r="H55" s="56">
        <v>2</v>
      </c>
      <c r="I55" s="54" t="s">
        <v>973</v>
      </c>
    </row>
    <row r="56" spans="1:9" x14ac:dyDescent="0.2">
      <c r="A56" s="57" t="s">
        <v>152</v>
      </c>
      <c r="B56" s="58" t="s">
        <v>153</v>
      </c>
      <c r="C56" s="58">
        <v>111106000</v>
      </c>
      <c r="D56" s="58"/>
      <c r="E56" s="58"/>
      <c r="F56" s="58"/>
      <c r="G56" s="59">
        <v>30</v>
      </c>
      <c r="H56" s="59">
        <v>2</v>
      </c>
      <c r="I56" s="57" t="s">
        <v>973</v>
      </c>
    </row>
    <row r="57" spans="1:9" x14ac:dyDescent="0.2">
      <c r="A57" s="54" t="s">
        <v>154</v>
      </c>
      <c r="B57" s="55" t="s">
        <v>155</v>
      </c>
      <c r="C57" s="55">
        <v>122840000</v>
      </c>
      <c r="D57" s="55"/>
      <c r="E57" s="55"/>
      <c r="F57" s="55"/>
      <c r="G57" s="56">
        <v>30</v>
      </c>
      <c r="H57" s="56">
        <v>2</v>
      </c>
      <c r="I57" s="54" t="s">
        <v>973</v>
      </c>
    </row>
    <row r="58" spans="1:9" x14ac:dyDescent="0.2">
      <c r="A58" s="57" t="s">
        <v>156</v>
      </c>
      <c r="B58" s="58" t="s">
        <v>157</v>
      </c>
      <c r="C58" s="58">
        <v>135765000</v>
      </c>
      <c r="D58" s="58"/>
      <c r="E58" s="58"/>
      <c r="F58" s="58"/>
      <c r="G58" s="59">
        <v>30</v>
      </c>
      <c r="H58" s="59">
        <v>2</v>
      </c>
      <c r="I58" s="57" t="s">
        <v>973</v>
      </c>
    </row>
    <row r="59" spans="1:9" x14ac:dyDescent="0.2">
      <c r="A59" s="54" t="s">
        <v>158</v>
      </c>
      <c r="B59" s="55" t="s">
        <v>159</v>
      </c>
      <c r="C59" s="55">
        <v>94055000</v>
      </c>
      <c r="D59" s="55"/>
      <c r="E59" s="55"/>
      <c r="F59" s="55"/>
      <c r="G59" s="56">
        <v>30</v>
      </c>
      <c r="H59" s="56">
        <v>2</v>
      </c>
      <c r="I59" s="54" t="s">
        <v>973</v>
      </c>
    </row>
    <row r="60" spans="1:9" x14ac:dyDescent="0.2">
      <c r="A60" s="57" t="s">
        <v>160</v>
      </c>
      <c r="B60" s="58" t="s">
        <v>161</v>
      </c>
      <c r="C60" s="58">
        <v>52127000</v>
      </c>
      <c r="D60" s="58"/>
      <c r="E60" s="58"/>
      <c r="F60" s="58"/>
      <c r="G60" s="59">
        <v>30</v>
      </c>
      <c r="H60" s="59">
        <v>2</v>
      </c>
      <c r="I60" s="57" t="s">
        <v>973</v>
      </c>
    </row>
    <row r="61" spans="1:9" x14ac:dyDescent="0.2">
      <c r="A61" s="54" t="s">
        <v>162</v>
      </c>
      <c r="B61" s="55" t="s">
        <v>163</v>
      </c>
      <c r="C61" s="55">
        <v>81125000</v>
      </c>
      <c r="D61" s="55"/>
      <c r="E61" s="55"/>
      <c r="F61" s="55"/>
      <c r="G61" s="56">
        <v>30</v>
      </c>
      <c r="H61" s="56">
        <v>2</v>
      </c>
      <c r="I61" s="54" t="s">
        <v>973</v>
      </c>
    </row>
    <row r="62" spans="1:9" x14ac:dyDescent="0.2">
      <c r="A62" s="57" t="s">
        <v>164</v>
      </c>
      <c r="B62" s="58" t="s">
        <v>165</v>
      </c>
      <c r="C62" s="58">
        <v>91758000</v>
      </c>
      <c r="D62" s="58"/>
      <c r="E62" s="58"/>
      <c r="F62" s="58"/>
      <c r="G62" s="59">
        <v>30</v>
      </c>
      <c r="H62" s="59">
        <v>2</v>
      </c>
      <c r="I62" s="57" t="s">
        <v>973</v>
      </c>
    </row>
    <row r="63" spans="1:9" x14ac:dyDescent="0.2">
      <c r="A63" s="54" t="s">
        <v>166</v>
      </c>
      <c r="B63" s="55" t="s">
        <v>167</v>
      </c>
      <c r="C63" s="55">
        <v>102390000</v>
      </c>
      <c r="D63" s="55"/>
      <c r="E63" s="55"/>
      <c r="F63" s="55"/>
      <c r="G63" s="56">
        <v>30</v>
      </c>
      <c r="H63" s="56">
        <v>2</v>
      </c>
      <c r="I63" s="54" t="s">
        <v>973</v>
      </c>
    </row>
    <row r="64" spans="1:9" x14ac:dyDescent="0.2">
      <c r="A64" s="57" t="s">
        <v>168</v>
      </c>
      <c r="B64" s="58" t="s">
        <v>169</v>
      </c>
      <c r="C64" s="58">
        <v>114938000</v>
      </c>
      <c r="D64" s="58"/>
      <c r="E64" s="58"/>
      <c r="F64" s="58"/>
      <c r="G64" s="59">
        <v>30</v>
      </c>
      <c r="H64" s="59">
        <v>2</v>
      </c>
      <c r="I64" s="57" t="s">
        <v>973</v>
      </c>
    </row>
    <row r="65" spans="1:9" x14ac:dyDescent="0.2">
      <c r="A65" s="54" t="s">
        <v>170</v>
      </c>
      <c r="B65" s="55" t="s">
        <v>171</v>
      </c>
      <c r="C65" s="55">
        <v>130111000</v>
      </c>
      <c r="D65" s="55"/>
      <c r="E65" s="55"/>
      <c r="F65" s="55"/>
      <c r="G65" s="56">
        <v>30</v>
      </c>
      <c r="H65" s="56">
        <v>2</v>
      </c>
      <c r="I65" s="54" t="s">
        <v>973</v>
      </c>
    </row>
    <row r="66" spans="1:9" x14ac:dyDescent="0.2">
      <c r="A66" s="57" t="s">
        <v>172</v>
      </c>
      <c r="B66" s="58" t="s">
        <v>173</v>
      </c>
      <c r="C66" s="58">
        <v>166586000</v>
      </c>
      <c r="D66" s="58"/>
      <c r="E66" s="58"/>
      <c r="F66" s="58"/>
      <c r="G66" s="59">
        <v>30</v>
      </c>
      <c r="H66" s="59">
        <v>2</v>
      </c>
      <c r="I66" s="57" t="s">
        <v>973</v>
      </c>
    </row>
    <row r="67" spans="1:9" x14ac:dyDescent="0.2">
      <c r="A67" s="54" t="s">
        <v>174</v>
      </c>
      <c r="B67" s="55" t="s">
        <v>175</v>
      </c>
      <c r="C67" s="55">
        <v>181176000</v>
      </c>
      <c r="D67" s="55"/>
      <c r="E67" s="55"/>
      <c r="F67" s="55"/>
      <c r="G67" s="56">
        <v>30</v>
      </c>
      <c r="H67" s="56">
        <v>2</v>
      </c>
      <c r="I67" s="54" t="s">
        <v>973</v>
      </c>
    </row>
    <row r="68" spans="1:9" x14ac:dyDescent="0.2">
      <c r="A68" s="57" t="s">
        <v>176</v>
      </c>
      <c r="B68" s="58" t="s">
        <v>177</v>
      </c>
      <c r="C68" s="58">
        <v>228877000</v>
      </c>
      <c r="D68" s="58"/>
      <c r="E68" s="58"/>
      <c r="F68" s="58"/>
      <c r="G68" s="59">
        <v>30</v>
      </c>
      <c r="H68" s="59">
        <v>2</v>
      </c>
      <c r="I68" s="57" t="s">
        <v>973</v>
      </c>
    </row>
    <row r="69" spans="1:9" x14ac:dyDescent="0.2">
      <c r="A69" s="54" t="s">
        <v>178</v>
      </c>
      <c r="B69" s="55" t="s">
        <v>179</v>
      </c>
      <c r="C69" s="55">
        <v>182038000</v>
      </c>
      <c r="D69" s="55"/>
      <c r="E69" s="55"/>
      <c r="F69" s="55"/>
      <c r="G69" s="56">
        <v>30</v>
      </c>
      <c r="H69" s="56">
        <v>2</v>
      </c>
      <c r="I69" s="54" t="s">
        <v>973</v>
      </c>
    </row>
    <row r="70" spans="1:9" x14ac:dyDescent="0.2">
      <c r="A70" s="57" t="s">
        <v>180</v>
      </c>
      <c r="B70" s="58" t="s">
        <v>181</v>
      </c>
      <c r="C70" s="58">
        <v>251252000</v>
      </c>
      <c r="D70" s="58"/>
      <c r="E70" s="58"/>
      <c r="F70" s="58"/>
      <c r="G70" s="59">
        <v>30</v>
      </c>
      <c r="H70" s="59">
        <v>2</v>
      </c>
      <c r="I70" s="57" t="s">
        <v>973</v>
      </c>
    </row>
    <row r="71" spans="1:9" x14ac:dyDescent="0.2">
      <c r="A71" s="54" t="s">
        <v>182</v>
      </c>
      <c r="B71" s="55" t="s">
        <v>183</v>
      </c>
      <c r="C71" s="55">
        <v>30586000</v>
      </c>
      <c r="D71" s="55"/>
      <c r="E71" s="55"/>
      <c r="F71" s="55"/>
      <c r="G71" s="56">
        <v>30</v>
      </c>
      <c r="H71" s="56">
        <v>2</v>
      </c>
      <c r="I71" s="54" t="s">
        <v>973</v>
      </c>
    </row>
    <row r="72" spans="1:9" x14ac:dyDescent="0.2">
      <c r="A72" s="57" t="s">
        <v>184</v>
      </c>
      <c r="B72" s="58" t="s">
        <v>185</v>
      </c>
      <c r="C72" s="58">
        <v>224811000</v>
      </c>
      <c r="D72" s="58"/>
      <c r="E72" s="58"/>
      <c r="F72" s="58"/>
      <c r="G72" s="59">
        <v>30</v>
      </c>
      <c r="H72" s="59">
        <v>2</v>
      </c>
      <c r="I72" s="57" t="s">
        <v>973</v>
      </c>
    </row>
    <row r="73" spans="1:9" x14ac:dyDescent="0.2">
      <c r="A73" s="54" t="s">
        <v>186</v>
      </c>
      <c r="B73" s="55" t="s">
        <v>187</v>
      </c>
      <c r="C73" s="55">
        <v>278426000</v>
      </c>
      <c r="D73" s="55"/>
      <c r="E73" s="55"/>
      <c r="F73" s="55"/>
      <c r="G73" s="56">
        <v>30</v>
      </c>
      <c r="H73" s="56">
        <v>2</v>
      </c>
      <c r="I73" s="54" t="s">
        <v>973</v>
      </c>
    </row>
    <row r="74" spans="1:9" x14ac:dyDescent="0.2">
      <c r="A74" s="57" t="s">
        <v>188</v>
      </c>
      <c r="B74" s="58" t="s">
        <v>189</v>
      </c>
      <c r="C74" s="58">
        <v>340573000</v>
      </c>
      <c r="D74" s="58"/>
      <c r="E74" s="58"/>
      <c r="F74" s="58"/>
      <c r="G74" s="59">
        <v>30</v>
      </c>
      <c r="H74" s="59">
        <v>2</v>
      </c>
      <c r="I74" s="57" t="s">
        <v>973</v>
      </c>
    </row>
    <row r="75" spans="1:9" x14ac:dyDescent="0.2">
      <c r="A75" s="54" t="s">
        <v>190</v>
      </c>
      <c r="B75" s="55" t="s">
        <v>191</v>
      </c>
      <c r="C75" s="55">
        <v>533351000</v>
      </c>
      <c r="D75" s="55"/>
      <c r="E75" s="55"/>
      <c r="F75" s="55"/>
      <c r="G75" s="56">
        <v>30</v>
      </c>
      <c r="H75" s="56">
        <v>2</v>
      </c>
      <c r="I75" s="54" t="s">
        <v>973</v>
      </c>
    </row>
    <row r="76" spans="1:9" x14ac:dyDescent="0.2">
      <c r="A76" s="57" t="s">
        <v>192</v>
      </c>
      <c r="B76" s="58" t="s">
        <v>193</v>
      </c>
      <c r="C76" s="58">
        <v>77632000</v>
      </c>
      <c r="D76" s="58"/>
      <c r="E76" s="58"/>
      <c r="F76" s="58"/>
      <c r="G76" s="59">
        <v>40</v>
      </c>
      <c r="H76" s="59">
        <v>3</v>
      </c>
      <c r="I76" s="57" t="s">
        <v>973</v>
      </c>
    </row>
    <row r="77" spans="1:9" x14ac:dyDescent="0.2">
      <c r="A77" s="54" t="s">
        <v>194</v>
      </c>
      <c r="B77" s="55" t="s">
        <v>195</v>
      </c>
      <c r="C77" s="55">
        <v>83028000</v>
      </c>
      <c r="D77" s="55"/>
      <c r="E77" s="55"/>
      <c r="F77" s="55"/>
      <c r="G77" s="56">
        <v>40</v>
      </c>
      <c r="H77" s="56">
        <v>3</v>
      </c>
      <c r="I77" s="54" t="s">
        <v>973</v>
      </c>
    </row>
    <row r="78" spans="1:9" x14ac:dyDescent="0.2">
      <c r="A78" s="57" t="s">
        <v>196</v>
      </c>
      <c r="B78" s="58" t="s">
        <v>197</v>
      </c>
      <c r="C78" s="58">
        <v>89152000</v>
      </c>
      <c r="D78" s="58"/>
      <c r="E78" s="58"/>
      <c r="F78" s="58"/>
      <c r="G78" s="59">
        <v>40</v>
      </c>
      <c r="H78" s="59">
        <v>3</v>
      </c>
      <c r="I78" s="57" t="s">
        <v>973</v>
      </c>
    </row>
    <row r="79" spans="1:9" x14ac:dyDescent="0.2">
      <c r="A79" s="54" t="s">
        <v>198</v>
      </c>
      <c r="B79" s="55" t="s">
        <v>199</v>
      </c>
      <c r="C79" s="55">
        <v>44215000</v>
      </c>
      <c r="D79" s="55"/>
      <c r="E79" s="55"/>
      <c r="F79" s="55"/>
      <c r="G79" s="56">
        <v>40</v>
      </c>
      <c r="H79" s="56">
        <v>3</v>
      </c>
      <c r="I79" s="54" t="s">
        <v>973</v>
      </c>
    </row>
    <row r="80" spans="1:9" x14ac:dyDescent="0.2">
      <c r="A80" s="57" t="s">
        <v>200</v>
      </c>
      <c r="B80" s="58" t="s">
        <v>201</v>
      </c>
      <c r="C80" s="58">
        <v>51500000</v>
      </c>
      <c r="D80" s="58"/>
      <c r="E80" s="58"/>
      <c r="F80" s="58"/>
      <c r="G80" s="59">
        <v>40</v>
      </c>
      <c r="H80" s="59">
        <v>3</v>
      </c>
      <c r="I80" s="57" t="s">
        <v>973</v>
      </c>
    </row>
    <row r="81" spans="1:9" x14ac:dyDescent="0.2">
      <c r="A81" s="54" t="s">
        <v>202</v>
      </c>
      <c r="B81" s="55" t="s">
        <v>203</v>
      </c>
      <c r="C81" s="55">
        <v>59767000</v>
      </c>
      <c r="D81" s="55"/>
      <c r="E81" s="55"/>
      <c r="F81" s="55"/>
      <c r="G81" s="56">
        <v>40</v>
      </c>
      <c r="H81" s="56">
        <v>3</v>
      </c>
      <c r="I81" s="54" t="s">
        <v>973</v>
      </c>
    </row>
    <row r="82" spans="1:9" x14ac:dyDescent="0.2">
      <c r="A82" s="57" t="s">
        <v>204</v>
      </c>
      <c r="B82" s="58" t="s">
        <v>205</v>
      </c>
      <c r="C82" s="58">
        <v>149010000</v>
      </c>
      <c r="D82" s="58"/>
      <c r="E82" s="58"/>
      <c r="F82" s="58"/>
      <c r="G82" s="59">
        <v>40</v>
      </c>
      <c r="H82" s="59">
        <v>3</v>
      </c>
      <c r="I82" s="57" t="s">
        <v>973</v>
      </c>
    </row>
    <row r="83" spans="1:9" x14ac:dyDescent="0.2">
      <c r="A83" s="54" t="s">
        <v>206</v>
      </c>
      <c r="B83" s="55" t="s">
        <v>207</v>
      </c>
      <c r="C83" s="55">
        <v>159765000</v>
      </c>
      <c r="D83" s="55"/>
      <c r="E83" s="55"/>
      <c r="F83" s="55"/>
      <c r="G83" s="56">
        <v>40</v>
      </c>
      <c r="H83" s="56">
        <v>3</v>
      </c>
      <c r="I83" s="54" t="s">
        <v>973</v>
      </c>
    </row>
    <row r="84" spans="1:9" x14ac:dyDescent="0.2">
      <c r="A84" s="57" t="s">
        <v>208</v>
      </c>
      <c r="B84" s="58" t="s">
        <v>209</v>
      </c>
      <c r="C84" s="58">
        <v>171968000</v>
      </c>
      <c r="D84" s="58"/>
      <c r="E84" s="58"/>
      <c r="F84" s="58"/>
      <c r="G84" s="59">
        <v>40</v>
      </c>
      <c r="H84" s="59">
        <v>3</v>
      </c>
      <c r="I84" s="57" t="s">
        <v>973</v>
      </c>
    </row>
    <row r="85" spans="1:9" x14ac:dyDescent="0.2">
      <c r="A85" s="54" t="s">
        <v>210</v>
      </c>
      <c r="B85" s="55" t="s">
        <v>211</v>
      </c>
      <c r="C85" s="55">
        <v>84438000</v>
      </c>
      <c r="D85" s="55"/>
      <c r="E85" s="55"/>
      <c r="F85" s="55"/>
      <c r="G85" s="56">
        <v>40</v>
      </c>
      <c r="H85" s="56">
        <v>3</v>
      </c>
      <c r="I85" s="54" t="s">
        <v>973</v>
      </c>
    </row>
    <row r="86" spans="1:9" x14ac:dyDescent="0.2">
      <c r="A86" s="57" t="s">
        <v>212</v>
      </c>
      <c r="B86" s="58" t="s">
        <v>213</v>
      </c>
      <c r="C86" s="58">
        <v>99008000</v>
      </c>
      <c r="D86" s="58"/>
      <c r="E86" s="58"/>
      <c r="F86" s="58"/>
      <c r="G86" s="59">
        <v>40</v>
      </c>
      <c r="H86" s="59">
        <v>3</v>
      </c>
      <c r="I86" s="57" t="s">
        <v>973</v>
      </c>
    </row>
    <row r="87" spans="1:9" x14ac:dyDescent="0.2">
      <c r="A87" s="54" t="s">
        <v>214</v>
      </c>
      <c r="B87" s="55" t="s">
        <v>215</v>
      </c>
      <c r="C87" s="55">
        <v>115542000</v>
      </c>
      <c r="D87" s="55"/>
      <c r="E87" s="55"/>
      <c r="F87" s="55"/>
      <c r="G87" s="56">
        <v>40</v>
      </c>
      <c r="H87" s="56">
        <v>3</v>
      </c>
      <c r="I87" s="54" t="s">
        <v>973</v>
      </c>
    </row>
    <row r="88" spans="1:9" x14ac:dyDescent="0.2">
      <c r="A88" s="57" t="s">
        <v>216</v>
      </c>
      <c r="B88" s="58" t="s">
        <v>217</v>
      </c>
      <c r="C88" s="58">
        <v>63709000</v>
      </c>
      <c r="D88" s="58"/>
      <c r="E88" s="58"/>
      <c r="F88" s="58"/>
      <c r="G88" s="59">
        <v>40</v>
      </c>
      <c r="H88" s="59">
        <v>3</v>
      </c>
      <c r="I88" s="57" t="s">
        <v>973</v>
      </c>
    </row>
    <row r="89" spans="1:9" x14ac:dyDescent="0.2">
      <c r="A89" s="54" t="s">
        <v>218</v>
      </c>
      <c r="B89" s="55" t="s">
        <v>219</v>
      </c>
      <c r="C89" s="55">
        <v>70994000</v>
      </c>
      <c r="D89" s="55"/>
      <c r="E89" s="55"/>
      <c r="F89" s="55"/>
      <c r="G89" s="56">
        <v>40</v>
      </c>
      <c r="H89" s="56">
        <v>3</v>
      </c>
      <c r="I89" s="54" t="s">
        <v>973</v>
      </c>
    </row>
    <row r="90" spans="1:9" x14ac:dyDescent="0.2">
      <c r="A90" s="57" t="s">
        <v>220</v>
      </c>
      <c r="B90" s="58" t="s">
        <v>221</v>
      </c>
      <c r="C90" s="58">
        <v>79261000</v>
      </c>
      <c r="D90" s="58"/>
      <c r="E90" s="58"/>
      <c r="F90" s="58"/>
      <c r="G90" s="59">
        <v>40</v>
      </c>
      <c r="H90" s="59">
        <v>3</v>
      </c>
      <c r="I90" s="57" t="s">
        <v>973</v>
      </c>
    </row>
    <row r="91" spans="1:9" x14ac:dyDescent="0.2">
      <c r="A91" s="54" t="s">
        <v>222</v>
      </c>
      <c r="B91" s="55" t="s">
        <v>223</v>
      </c>
      <c r="C91" s="55">
        <v>105444000</v>
      </c>
      <c r="D91" s="55"/>
      <c r="E91" s="55"/>
      <c r="F91" s="55"/>
      <c r="G91" s="56">
        <v>40</v>
      </c>
      <c r="H91" s="56">
        <v>3</v>
      </c>
      <c r="I91" s="54" t="s">
        <v>973</v>
      </c>
    </row>
    <row r="92" spans="1:9" x14ac:dyDescent="0.2">
      <c r="A92" s="57" t="s">
        <v>224</v>
      </c>
      <c r="B92" s="58" t="s">
        <v>225</v>
      </c>
      <c r="C92" s="58">
        <v>120015000</v>
      </c>
      <c r="D92" s="58"/>
      <c r="E92" s="58"/>
      <c r="F92" s="58"/>
      <c r="G92" s="59">
        <v>40</v>
      </c>
      <c r="H92" s="59">
        <v>3</v>
      </c>
      <c r="I92" s="57" t="s">
        <v>973</v>
      </c>
    </row>
    <row r="93" spans="1:9" x14ac:dyDescent="0.2">
      <c r="A93" s="54" t="s">
        <v>226</v>
      </c>
      <c r="B93" s="55" t="s">
        <v>227</v>
      </c>
      <c r="C93" s="55">
        <v>136549000</v>
      </c>
      <c r="D93" s="55"/>
      <c r="E93" s="55"/>
      <c r="F93" s="55"/>
      <c r="G93" s="56">
        <v>40</v>
      </c>
      <c r="H93" s="56">
        <v>3</v>
      </c>
      <c r="I93" s="54" t="s">
        <v>973</v>
      </c>
    </row>
    <row r="94" spans="1:9" x14ac:dyDescent="0.2">
      <c r="A94" s="57" t="s">
        <v>228</v>
      </c>
      <c r="B94" s="58" t="s">
        <v>229</v>
      </c>
      <c r="C94" s="58">
        <v>283580000</v>
      </c>
      <c r="D94" s="58"/>
      <c r="E94" s="58"/>
      <c r="F94" s="58"/>
      <c r="G94" s="59">
        <v>40</v>
      </c>
      <c r="H94" s="59">
        <v>3</v>
      </c>
      <c r="I94" s="57" t="s">
        <v>973</v>
      </c>
    </row>
    <row r="95" spans="1:9" x14ac:dyDescent="0.2">
      <c r="A95" s="54" t="s">
        <v>230</v>
      </c>
      <c r="B95" s="55" t="s">
        <v>231</v>
      </c>
      <c r="C95" s="55">
        <v>288957000</v>
      </c>
      <c r="D95" s="55"/>
      <c r="E95" s="55"/>
      <c r="F95" s="55"/>
      <c r="G95" s="56">
        <v>40</v>
      </c>
      <c r="H95" s="56">
        <v>3</v>
      </c>
      <c r="I95" s="54" t="s">
        <v>973</v>
      </c>
    </row>
    <row r="96" spans="1:9" x14ac:dyDescent="0.2">
      <c r="A96" s="57" t="s">
        <v>232</v>
      </c>
      <c r="B96" s="58" t="s">
        <v>233</v>
      </c>
      <c r="C96" s="58">
        <v>295059000</v>
      </c>
      <c r="D96" s="58"/>
      <c r="E96" s="58"/>
      <c r="F96" s="58"/>
      <c r="G96" s="59">
        <v>40</v>
      </c>
      <c r="H96" s="59">
        <v>3</v>
      </c>
      <c r="I96" s="57" t="s">
        <v>973</v>
      </c>
    </row>
    <row r="97" spans="1:9" x14ac:dyDescent="0.2">
      <c r="A97" s="54" t="s">
        <v>234</v>
      </c>
      <c r="B97" s="55" t="s">
        <v>235</v>
      </c>
      <c r="C97" s="55">
        <v>328307000</v>
      </c>
      <c r="D97" s="55"/>
      <c r="E97" s="55"/>
      <c r="F97" s="55"/>
      <c r="G97" s="56">
        <v>40</v>
      </c>
      <c r="H97" s="56">
        <v>3</v>
      </c>
      <c r="I97" s="54" t="s">
        <v>973</v>
      </c>
    </row>
    <row r="98" spans="1:9" x14ac:dyDescent="0.2">
      <c r="A98" s="57" t="s">
        <v>236</v>
      </c>
      <c r="B98" s="58" t="s">
        <v>237</v>
      </c>
      <c r="C98" s="58">
        <v>339061000</v>
      </c>
      <c r="D98" s="58"/>
      <c r="E98" s="58"/>
      <c r="F98" s="58"/>
      <c r="G98" s="59">
        <v>40</v>
      </c>
      <c r="H98" s="59">
        <v>3</v>
      </c>
      <c r="I98" s="57" t="s">
        <v>973</v>
      </c>
    </row>
    <row r="99" spans="1:9" x14ac:dyDescent="0.2">
      <c r="A99" s="54" t="s">
        <v>238</v>
      </c>
      <c r="B99" s="55" t="s">
        <v>239</v>
      </c>
      <c r="C99" s="55">
        <v>351264000</v>
      </c>
      <c r="D99" s="55"/>
      <c r="E99" s="55"/>
      <c r="F99" s="55"/>
      <c r="G99" s="56">
        <v>40</v>
      </c>
      <c r="H99" s="56">
        <v>3</v>
      </c>
      <c r="I99" s="54" t="s">
        <v>973</v>
      </c>
    </row>
    <row r="100" spans="1:9" x14ac:dyDescent="0.2">
      <c r="A100" s="57" t="s">
        <v>240</v>
      </c>
      <c r="B100" s="58" t="s">
        <v>241</v>
      </c>
      <c r="C100" s="58">
        <v>102748000</v>
      </c>
      <c r="D100" s="58"/>
      <c r="E100" s="58"/>
      <c r="F100" s="58"/>
      <c r="G100" s="59">
        <v>40</v>
      </c>
      <c r="H100" s="59">
        <v>3</v>
      </c>
      <c r="I100" s="57" t="s">
        <v>973</v>
      </c>
    </row>
    <row r="101" spans="1:9" x14ac:dyDescent="0.2">
      <c r="A101" s="54" t="s">
        <v>242</v>
      </c>
      <c r="B101" s="55" t="s">
        <v>243</v>
      </c>
      <c r="C101" s="55">
        <v>144078000</v>
      </c>
      <c r="D101" s="55"/>
      <c r="E101" s="55"/>
      <c r="F101" s="55"/>
      <c r="G101" s="56">
        <v>40</v>
      </c>
      <c r="H101" s="56">
        <v>3</v>
      </c>
      <c r="I101" s="54" t="s">
        <v>973</v>
      </c>
    </row>
    <row r="102" spans="1:9" x14ac:dyDescent="0.2">
      <c r="A102" s="57" t="s">
        <v>244</v>
      </c>
      <c r="B102" s="58" t="s">
        <v>245</v>
      </c>
      <c r="C102" s="58">
        <v>424732000</v>
      </c>
      <c r="D102" s="58"/>
      <c r="E102" s="58"/>
      <c r="F102" s="58"/>
      <c r="G102" s="59">
        <v>40</v>
      </c>
      <c r="H102" s="59">
        <v>3</v>
      </c>
      <c r="I102" s="57" t="s">
        <v>973</v>
      </c>
    </row>
    <row r="103" spans="1:9" x14ac:dyDescent="0.2">
      <c r="A103" s="54" t="s">
        <v>246</v>
      </c>
      <c r="B103" s="55" t="s">
        <v>247</v>
      </c>
      <c r="C103" s="55">
        <v>323807000</v>
      </c>
      <c r="D103" s="55"/>
      <c r="E103" s="55"/>
      <c r="F103" s="55"/>
      <c r="G103" s="56">
        <v>40</v>
      </c>
      <c r="H103" s="56">
        <v>3</v>
      </c>
      <c r="I103" s="54" t="s">
        <v>973</v>
      </c>
    </row>
    <row r="104" spans="1:9" x14ac:dyDescent="0.2">
      <c r="A104" s="57" t="s">
        <v>248</v>
      </c>
      <c r="B104" s="58" t="s">
        <v>249</v>
      </c>
      <c r="C104" s="58">
        <v>252108000</v>
      </c>
      <c r="D104" s="58"/>
      <c r="E104" s="58"/>
      <c r="F104" s="58"/>
      <c r="G104" s="59">
        <v>40</v>
      </c>
      <c r="H104" s="59">
        <v>3</v>
      </c>
      <c r="I104" s="57" t="s">
        <v>973</v>
      </c>
    </row>
    <row r="105" spans="1:9" x14ac:dyDescent="0.2">
      <c r="A105" s="54" t="s">
        <v>250</v>
      </c>
      <c r="B105" s="55" t="s">
        <v>251</v>
      </c>
      <c r="C105" s="55">
        <v>194042000</v>
      </c>
      <c r="D105" s="55"/>
      <c r="E105" s="55"/>
      <c r="F105" s="55"/>
      <c r="G105" s="56">
        <v>40</v>
      </c>
      <c r="H105" s="56">
        <v>3</v>
      </c>
      <c r="I105" s="54" t="s">
        <v>973</v>
      </c>
    </row>
    <row r="106" spans="1:9" x14ac:dyDescent="0.2">
      <c r="A106" s="57" t="s">
        <v>252</v>
      </c>
      <c r="B106" s="58" t="s">
        <v>253</v>
      </c>
      <c r="C106" s="58">
        <v>163029000</v>
      </c>
      <c r="D106" s="58"/>
      <c r="E106" s="58"/>
      <c r="F106" s="58"/>
      <c r="G106" s="59">
        <v>40</v>
      </c>
      <c r="H106" s="59">
        <v>3</v>
      </c>
      <c r="I106" s="57" t="s">
        <v>973</v>
      </c>
    </row>
    <row r="107" spans="1:9" x14ac:dyDescent="0.2">
      <c r="A107" s="54" t="s">
        <v>254</v>
      </c>
      <c r="B107" s="55" t="s">
        <v>255</v>
      </c>
      <c r="C107" s="55">
        <v>457516000</v>
      </c>
      <c r="D107" s="55"/>
      <c r="E107" s="55"/>
      <c r="F107" s="55"/>
      <c r="G107" s="56">
        <v>40</v>
      </c>
      <c r="H107" s="56">
        <v>3</v>
      </c>
      <c r="I107" s="54" t="s">
        <v>973</v>
      </c>
    </row>
    <row r="108" spans="1:9" x14ac:dyDescent="0.2">
      <c r="A108" s="57" t="s">
        <v>256</v>
      </c>
      <c r="B108" s="58" t="s">
        <v>257</v>
      </c>
      <c r="C108" s="58">
        <v>537317000</v>
      </c>
      <c r="D108" s="58"/>
      <c r="E108" s="58"/>
      <c r="F108" s="58"/>
      <c r="G108" s="59">
        <v>40</v>
      </c>
      <c r="H108" s="59">
        <v>3</v>
      </c>
      <c r="I108" s="57" t="s">
        <v>973</v>
      </c>
    </row>
    <row r="109" spans="1:9" x14ac:dyDescent="0.2">
      <c r="A109" s="54" t="s">
        <v>258</v>
      </c>
      <c r="B109" s="55" t="s">
        <v>259</v>
      </c>
      <c r="C109" s="55">
        <v>203914000</v>
      </c>
      <c r="D109" s="55"/>
      <c r="E109" s="55"/>
      <c r="F109" s="55"/>
      <c r="G109" s="56">
        <v>40</v>
      </c>
      <c r="H109" s="56">
        <v>4</v>
      </c>
      <c r="I109" s="54" t="s">
        <v>973</v>
      </c>
    </row>
    <row r="110" spans="1:9" x14ac:dyDescent="0.2">
      <c r="A110" s="57" t="s">
        <v>260</v>
      </c>
      <c r="B110" s="58" t="s">
        <v>261</v>
      </c>
      <c r="C110" s="58">
        <v>212204000</v>
      </c>
      <c r="D110" s="58"/>
      <c r="E110" s="58"/>
      <c r="F110" s="58"/>
      <c r="G110" s="59">
        <v>40</v>
      </c>
      <c r="H110" s="59">
        <v>4</v>
      </c>
      <c r="I110" s="57" t="s">
        <v>973</v>
      </c>
    </row>
    <row r="111" spans="1:9" x14ac:dyDescent="0.2">
      <c r="A111" s="54" t="s">
        <v>262</v>
      </c>
      <c r="B111" s="55" t="s">
        <v>263</v>
      </c>
      <c r="C111" s="55">
        <v>231231000</v>
      </c>
      <c r="D111" s="55"/>
      <c r="E111" s="55"/>
      <c r="F111" s="55"/>
      <c r="G111" s="56">
        <v>40</v>
      </c>
      <c r="H111" s="56">
        <v>4</v>
      </c>
      <c r="I111" s="54" t="s">
        <v>973</v>
      </c>
    </row>
    <row r="112" spans="1:9" x14ac:dyDescent="0.2">
      <c r="A112" s="57" t="s">
        <v>264</v>
      </c>
      <c r="B112" s="58" t="s">
        <v>265</v>
      </c>
      <c r="C112" s="58">
        <v>238890000</v>
      </c>
      <c r="D112" s="58"/>
      <c r="E112" s="58"/>
      <c r="F112" s="58"/>
      <c r="G112" s="59">
        <v>40</v>
      </c>
      <c r="H112" s="59">
        <v>4</v>
      </c>
      <c r="I112" s="57" t="s">
        <v>973</v>
      </c>
    </row>
    <row r="113" spans="1:9" x14ac:dyDescent="0.2">
      <c r="A113" s="54" t="s">
        <v>266</v>
      </c>
      <c r="B113" s="55" t="s">
        <v>267</v>
      </c>
      <c r="C113" s="55">
        <v>161668000</v>
      </c>
      <c r="D113" s="55"/>
      <c r="E113" s="55"/>
      <c r="F113" s="55"/>
      <c r="G113" s="56">
        <v>40</v>
      </c>
      <c r="H113" s="56">
        <v>4</v>
      </c>
      <c r="I113" s="54" t="s">
        <v>973</v>
      </c>
    </row>
    <row r="114" spans="1:9" x14ac:dyDescent="0.2">
      <c r="A114" s="57" t="s">
        <v>268</v>
      </c>
      <c r="B114" s="58" t="s">
        <v>269</v>
      </c>
      <c r="C114" s="58">
        <v>169923000</v>
      </c>
      <c r="D114" s="58"/>
      <c r="E114" s="58"/>
      <c r="F114" s="58"/>
      <c r="G114" s="59">
        <v>40</v>
      </c>
      <c r="H114" s="59">
        <v>4</v>
      </c>
      <c r="I114" s="57" t="s">
        <v>973</v>
      </c>
    </row>
    <row r="115" spans="1:9" x14ac:dyDescent="0.2">
      <c r="A115" s="54" t="s">
        <v>270</v>
      </c>
      <c r="B115" s="55" t="s">
        <v>271</v>
      </c>
      <c r="C115" s="55">
        <v>206539000</v>
      </c>
      <c r="D115" s="55"/>
      <c r="E115" s="55"/>
      <c r="F115" s="55"/>
      <c r="G115" s="56">
        <v>40</v>
      </c>
      <c r="H115" s="56">
        <v>4</v>
      </c>
      <c r="I115" s="54" t="s">
        <v>973</v>
      </c>
    </row>
    <row r="116" spans="1:9" x14ac:dyDescent="0.2">
      <c r="A116" s="57" t="s">
        <v>272</v>
      </c>
      <c r="B116" s="58" t="s">
        <v>273</v>
      </c>
      <c r="C116" s="58">
        <v>214164000</v>
      </c>
      <c r="D116" s="58"/>
      <c r="E116" s="58"/>
      <c r="F116" s="58"/>
      <c r="G116" s="59">
        <v>40</v>
      </c>
      <c r="H116" s="59">
        <v>4</v>
      </c>
      <c r="I116" s="57" t="s">
        <v>973</v>
      </c>
    </row>
    <row r="117" spans="1:9" x14ac:dyDescent="0.2">
      <c r="A117" s="54" t="s">
        <v>274</v>
      </c>
      <c r="B117" s="55" t="s">
        <v>275</v>
      </c>
      <c r="C117" s="55">
        <v>257809000</v>
      </c>
      <c r="D117" s="55"/>
      <c r="E117" s="55"/>
      <c r="F117" s="55"/>
      <c r="G117" s="56">
        <v>40</v>
      </c>
      <c r="H117" s="56">
        <v>4</v>
      </c>
      <c r="I117" s="54" t="s">
        <v>973</v>
      </c>
    </row>
    <row r="118" spans="1:9" x14ac:dyDescent="0.2">
      <c r="A118" s="57" t="s">
        <v>276</v>
      </c>
      <c r="B118" s="58" t="s">
        <v>277</v>
      </c>
      <c r="C118" s="58">
        <v>273925000</v>
      </c>
      <c r="D118" s="58"/>
      <c r="E118" s="58"/>
      <c r="F118" s="58"/>
      <c r="G118" s="59">
        <v>40</v>
      </c>
      <c r="H118" s="59">
        <v>4</v>
      </c>
      <c r="I118" s="57" t="s">
        <v>973</v>
      </c>
    </row>
    <row r="119" spans="1:9" x14ac:dyDescent="0.2">
      <c r="A119" s="54" t="s">
        <v>278</v>
      </c>
      <c r="B119" s="55" t="s">
        <v>279</v>
      </c>
      <c r="C119" s="55">
        <v>309580000</v>
      </c>
      <c r="D119" s="55"/>
      <c r="E119" s="55"/>
      <c r="F119" s="55"/>
      <c r="G119" s="56">
        <v>40</v>
      </c>
      <c r="H119" s="56">
        <v>4</v>
      </c>
      <c r="I119" s="54" t="s">
        <v>973</v>
      </c>
    </row>
    <row r="120" spans="1:9" x14ac:dyDescent="0.2">
      <c r="A120" s="57" t="s">
        <v>280</v>
      </c>
      <c r="B120" s="58" t="s">
        <v>281</v>
      </c>
      <c r="C120" s="58">
        <v>328924000</v>
      </c>
      <c r="D120" s="58"/>
      <c r="E120" s="58"/>
      <c r="F120" s="58"/>
      <c r="G120" s="59">
        <v>40</v>
      </c>
      <c r="H120" s="59">
        <v>4</v>
      </c>
      <c r="I120" s="57" t="s">
        <v>973</v>
      </c>
    </row>
    <row r="121" spans="1:9" x14ac:dyDescent="0.2">
      <c r="A121" s="54" t="s">
        <v>282</v>
      </c>
      <c r="B121" s="55" t="s">
        <v>283</v>
      </c>
      <c r="C121" s="55">
        <v>220682000</v>
      </c>
      <c r="D121" s="55"/>
      <c r="E121" s="55"/>
      <c r="F121" s="55"/>
      <c r="G121" s="56">
        <v>40</v>
      </c>
      <c r="H121" s="56">
        <v>4</v>
      </c>
      <c r="I121" s="54" t="s">
        <v>973</v>
      </c>
    </row>
    <row r="122" spans="1:9" x14ac:dyDescent="0.2">
      <c r="A122" s="57" t="s">
        <v>284</v>
      </c>
      <c r="B122" s="58" t="s">
        <v>285</v>
      </c>
      <c r="C122" s="58">
        <v>236730000</v>
      </c>
      <c r="D122" s="58"/>
      <c r="E122" s="58"/>
      <c r="F122" s="58"/>
      <c r="G122" s="59">
        <v>40</v>
      </c>
      <c r="H122" s="59">
        <v>4</v>
      </c>
      <c r="I122" s="57" t="s">
        <v>973</v>
      </c>
    </row>
    <row r="123" spans="1:9" x14ac:dyDescent="0.2">
      <c r="A123" s="54" t="s">
        <v>286</v>
      </c>
      <c r="B123" s="55" t="s">
        <v>287</v>
      </c>
      <c r="C123" s="55">
        <v>289807000</v>
      </c>
      <c r="D123" s="55"/>
      <c r="E123" s="55"/>
      <c r="F123" s="55"/>
      <c r="G123" s="56">
        <v>40</v>
      </c>
      <c r="H123" s="56">
        <v>4</v>
      </c>
      <c r="I123" s="54" t="s">
        <v>973</v>
      </c>
    </row>
    <row r="124" spans="1:9" x14ac:dyDescent="0.2">
      <c r="A124" s="57" t="s">
        <v>288</v>
      </c>
      <c r="B124" s="58" t="s">
        <v>289</v>
      </c>
      <c r="C124" s="58">
        <v>309110000</v>
      </c>
      <c r="D124" s="58"/>
      <c r="E124" s="58"/>
      <c r="F124" s="58"/>
      <c r="G124" s="59">
        <v>40</v>
      </c>
      <c r="H124" s="59">
        <v>4</v>
      </c>
      <c r="I124" s="57" t="s">
        <v>973</v>
      </c>
    </row>
    <row r="125" spans="1:9" x14ac:dyDescent="0.2">
      <c r="A125" s="54" t="s">
        <v>290</v>
      </c>
      <c r="B125" s="55" t="s">
        <v>291</v>
      </c>
      <c r="C125" s="55">
        <v>332836000</v>
      </c>
      <c r="D125" s="55"/>
      <c r="E125" s="55"/>
      <c r="F125" s="55"/>
      <c r="G125" s="56">
        <v>40</v>
      </c>
      <c r="H125" s="56">
        <v>4</v>
      </c>
      <c r="I125" s="54" t="s">
        <v>973</v>
      </c>
    </row>
    <row r="126" spans="1:9" x14ac:dyDescent="0.2">
      <c r="A126" s="57" t="s">
        <v>292</v>
      </c>
      <c r="B126" s="58" t="s">
        <v>293</v>
      </c>
      <c r="C126" s="58">
        <v>341127000</v>
      </c>
      <c r="D126" s="58"/>
      <c r="E126" s="58"/>
      <c r="F126" s="58"/>
      <c r="G126" s="59">
        <v>40</v>
      </c>
      <c r="H126" s="59">
        <v>4</v>
      </c>
      <c r="I126" s="57" t="s">
        <v>973</v>
      </c>
    </row>
    <row r="127" spans="1:9" x14ac:dyDescent="0.2">
      <c r="A127" s="54" t="s">
        <v>294</v>
      </c>
      <c r="B127" s="55" t="s">
        <v>295</v>
      </c>
      <c r="C127" s="55">
        <v>356103000</v>
      </c>
      <c r="D127" s="55"/>
      <c r="E127" s="55"/>
      <c r="F127" s="55"/>
      <c r="G127" s="56">
        <v>40</v>
      </c>
      <c r="H127" s="56">
        <v>4</v>
      </c>
      <c r="I127" s="54" t="s">
        <v>973</v>
      </c>
    </row>
    <row r="128" spans="1:9" x14ac:dyDescent="0.2">
      <c r="A128" s="57" t="s">
        <v>296</v>
      </c>
      <c r="B128" s="58" t="s">
        <v>297</v>
      </c>
      <c r="C128" s="58">
        <v>367813000</v>
      </c>
      <c r="D128" s="58"/>
      <c r="E128" s="58"/>
      <c r="F128" s="58"/>
      <c r="G128" s="59">
        <v>40</v>
      </c>
      <c r="H128" s="59">
        <v>4</v>
      </c>
      <c r="I128" s="57" t="s">
        <v>973</v>
      </c>
    </row>
    <row r="129" spans="1:9" x14ac:dyDescent="0.2">
      <c r="A129" s="54" t="s">
        <v>298</v>
      </c>
      <c r="B129" s="55" t="s">
        <v>299</v>
      </c>
      <c r="C129" s="55">
        <v>253880000</v>
      </c>
      <c r="D129" s="55"/>
      <c r="E129" s="55"/>
      <c r="F129" s="55"/>
      <c r="G129" s="56">
        <v>40</v>
      </c>
      <c r="H129" s="56">
        <v>4</v>
      </c>
      <c r="I129" s="54" t="s">
        <v>973</v>
      </c>
    </row>
    <row r="130" spans="1:9" x14ac:dyDescent="0.2">
      <c r="A130" s="57" t="s">
        <v>300</v>
      </c>
      <c r="B130" s="58" t="s">
        <v>301</v>
      </c>
      <c r="C130" s="58">
        <v>262135000</v>
      </c>
      <c r="D130" s="58"/>
      <c r="E130" s="58"/>
      <c r="F130" s="58"/>
      <c r="G130" s="59">
        <v>40</v>
      </c>
      <c r="H130" s="59">
        <v>4</v>
      </c>
      <c r="I130" s="57" t="s">
        <v>973</v>
      </c>
    </row>
    <row r="131" spans="1:9" x14ac:dyDescent="0.2">
      <c r="A131" s="54" t="s">
        <v>302</v>
      </c>
      <c r="B131" s="55" t="s">
        <v>303</v>
      </c>
      <c r="C131" s="55">
        <v>277069000</v>
      </c>
      <c r="D131" s="55"/>
      <c r="E131" s="55"/>
      <c r="F131" s="55"/>
      <c r="G131" s="56">
        <v>40</v>
      </c>
      <c r="H131" s="56">
        <v>4</v>
      </c>
      <c r="I131" s="54" t="s">
        <v>973</v>
      </c>
    </row>
    <row r="132" spans="1:9" x14ac:dyDescent="0.2">
      <c r="A132" s="57" t="s">
        <v>304</v>
      </c>
      <c r="B132" s="58" t="s">
        <v>305</v>
      </c>
      <c r="C132" s="58">
        <v>318328000</v>
      </c>
      <c r="D132" s="58"/>
      <c r="E132" s="58"/>
      <c r="F132" s="58"/>
      <c r="G132" s="59">
        <v>40</v>
      </c>
      <c r="H132" s="59">
        <v>4</v>
      </c>
      <c r="I132" s="57" t="s">
        <v>973</v>
      </c>
    </row>
    <row r="133" spans="1:9" x14ac:dyDescent="0.2">
      <c r="A133" s="54" t="s">
        <v>306</v>
      </c>
      <c r="B133" s="55" t="s">
        <v>307</v>
      </c>
      <c r="C133" s="55">
        <v>386398000</v>
      </c>
      <c r="D133" s="55"/>
      <c r="E133" s="55"/>
      <c r="F133" s="55"/>
      <c r="G133" s="56">
        <v>40</v>
      </c>
      <c r="H133" s="56">
        <v>4</v>
      </c>
      <c r="I133" s="54" t="s">
        <v>973</v>
      </c>
    </row>
    <row r="134" spans="1:9" x14ac:dyDescent="0.2">
      <c r="A134" s="57" t="s">
        <v>308</v>
      </c>
      <c r="B134" s="58" t="s">
        <v>309</v>
      </c>
      <c r="C134" s="58">
        <v>408513000</v>
      </c>
      <c r="D134" s="58"/>
      <c r="E134" s="58"/>
      <c r="F134" s="58"/>
      <c r="G134" s="59">
        <v>40</v>
      </c>
      <c r="H134" s="59">
        <v>4</v>
      </c>
      <c r="I134" s="57" t="s">
        <v>973</v>
      </c>
    </row>
    <row r="135" spans="1:9" x14ac:dyDescent="0.2">
      <c r="A135" s="54" t="s">
        <v>310</v>
      </c>
      <c r="B135" s="55" t="s">
        <v>311</v>
      </c>
      <c r="C135" s="55">
        <v>438169000</v>
      </c>
      <c r="D135" s="55"/>
      <c r="E135" s="55"/>
      <c r="F135" s="55"/>
      <c r="G135" s="56">
        <v>40</v>
      </c>
      <c r="H135" s="56">
        <v>4</v>
      </c>
      <c r="I135" s="54" t="s">
        <v>973</v>
      </c>
    </row>
    <row r="136" spans="1:9" x14ac:dyDescent="0.2">
      <c r="A136" s="57" t="s">
        <v>312</v>
      </c>
      <c r="B136" s="58" t="s">
        <v>313</v>
      </c>
      <c r="C136" s="58">
        <v>451427000</v>
      </c>
      <c r="D136" s="58"/>
      <c r="E136" s="58"/>
      <c r="F136" s="58"/>
      <c r="G136" s="59">
        <v>40</v>
      </c>
      <c r="H136" s="59">
        <v>4</v>
      </c>
      <c r="I136" s="57" t="s">
        <v>973</v>
      </c>
    </row>
    <row r="137" spans="1:9" x14ac:dyDescent="0.2">
      <c r="A137" s="54" t="s">
        <v>314</v>
      </c>
      <c r="B137" s="55" t="s">
        <v>315</v>
      </c>
      <c r="C137" s="55">
        <v>312431000</v>
      </c>
      <c r="D137" s="55"/>
      <c r="E137" s="55"/>
      <c r="F137" s="55"/>
      <c r="G137" s="56">
        <v>40</v>
      </c>
      <c r="H137" s="56">
        <v>4</v>
      </c>
      <c r="I137" s="54" t="s">
        <v>973</v>
      </c>
    </row>
    <row r="138" spans="1:9" x14ac:dyDescent="0.2">
      <c r="A138" s="57" t="s">
        <v>316</v>
      </c>
      <c r="B138" s="58" t="s">
        <v>317</v>
      </c>
      <c r="C138" s="58">
        <v>364052000</v>
      </c>
      <c r="D138" s="58"/>
      <c r="E138" s="58"/>
      <c r="F138" s="58"/>
      <c r="G138" s="59">
        <v>40</v>
      </c>
      <c r="H138" s="59">
        <v>4</v>
      </c>
      <c r="I138" s="57" t="s">
        <v>973</v>
      </c>
    </row>
    <row r="139" spans="1:9" x14ac:dyDescent="0.2">
      <c r="A139" s="54" t="s">
        <v>318</v>
      </c>
      <c r="B139" s="55" t="s">
        <v>319</v>
      </c>
      <c r="C139" s="55">
        <v>393625000</v>
      </c>
      <c r="D139" s="55"/>
      <c r="E139" s="55"/>
      <c r="F139" s="55"/>
      <c r="G139" s="56">
        <v>40</v>
      </c>
      <c r="H139" s="56">
        <v>4</v>
      </c>
      <c r="I139" s="54" t="s">
        <v>973</v>
      </c>
    </row>
    <row r="140" spans="1:9" x14ac:dyDescent="0.2">
      <c r="A140" s="57" t="s">
        <v>320</v>
      </c>
      <c r="B140" s="58" t="s">
        <v>321</v>
      </c>
      <c r="C140" s="58">
        <v>406827000</v>
      </c>
      <c r="D140" s="58"/>
      <c r="E140" s="58"/>
      <c r="F140" s="58"/>
      <c r="G140" s="59">
        <v>40</v>
      </c>
      <c r="H140" s="59">
        <v>4</v>
      </c>
      <c r="I140" s="57" t="s">
        <v>973</v>
      </c>
    </row>
    <row r="141" spans="1:9" x14ac:dyDescent="0.2">
      <c r="A141" s="54" t="s">
        <v>322</v>
      </c>
      <c r="B141" s="55" t="s">
        <v>323</v>
      </c>
      <c r="C141" s="55">
        <v>217935000</v>
      </c>
      <c r="D141" s="55"/>
      <c r="E141" s="55"/>
      <c r="F141" s="55"/>
      <c r="G141" s="56">
        <v>40</v>
      </c>
      <c r="H141" s="56">
        <v>4</v>
      </c>
      <c r="I141" s="54" t="s">
        <v>973</v>
      </c>
    </row>
    <row r="142" spans="1:9" x14ac:dyDescent="0.2">
      <c r="A142" s="57" t="s">
        <v>324</v>
      </c>
      <c r="B142" s="58" t="s">
        <v>325</v>
      </c>
      <c r="C142" s="58">
        <v>223507000</v>
      </c>
      <c r="D142" s="58"/>
      <c r="E142" s="58"/>
      <c r="F142" s="58"/>
      <c r="G142" s="59">
        <v>40</v>
      </c>
      <c r="H142" s="59">
        <v>4</v>
      </c>
      <c r="I142" s="57" t="s">
        <v>973</v>
      </c>
    </row>
    <row r="143" spans="1:9" x14ac:dyDescent="0.2">
      <c r="A143" s="54" t="s">
        <v>326</v>
      </c>
      <c r="B143" s="55" t="s">
        <v>327</v>
      </c>
      <c r="C143" s="55">
        <v>254902000</v>
      </c>
      <c r="D143" s="55"/>
      <c r="E143" s="55"/>
      <c r="F143" s="55"/>
      <c r="G143" s="56">
        <v>40</v>
      </c>
      <c r="H143" s="56">
        <v>4</v>
      </c>
      <c r="I143" s="54" t="s">
        <v>973</v>
      </c>
    </row>
    <row r="144" spans="1:9" x14ac:dyDescent="0.2">
      <c r="A144" s="57" t="s">
        <v>328</v>
      </c>
      <c r="B144" s="58" t="s">
        <v>329</v>
      </c>
      <c r="C144" s="58">
        <v>261805000</v>
      </c>
      <c r="D144" s="58"/>
      <c r="E144" s="58"/>
      <c r="F144" s="58"/>
      <c r="G144" s="59">
        <v>40</v>
      </c>
      <c r="H144" s="59">
        <v>4</v>
      </c>
      <c r="I144" s="57" t="s">
        <v>973</v>
      </c>
    </row>
    <row r="145" spans="1:9" x14ac:dyDescent="0.2">
      <c r="A145" s="54" t="s">
        <v>330</v>
      </c>
      <c r="B145" s="55" t="s">
        <v>331</v>
      </c>
      <c r="C145" s="55">
        <v>196693000</v>
      </c>
      <c r="D145" s="55"/>
      <c r="E145" s="55"/>
      <c r="F145" s="55"/>
      <c r="G145" s="56">
        <v>40</v>
      </c>
      <c r="H145" s="56">
        <v>4</v>
      </c>
      <c r="I145" s="54" t="s">
        <v>973</v>
      </c>
    </row>
    <row r="146" spans="1:9" x14ac:dyDescent="0.2">
      <c r="A146" s="57" t="s">
        <v>332</v>
      </c>
      <c r="B146" s="58" t="s">
        <v>333</v>
      </c>
      <c r="C146" s="58">
        <v>204527000</v>
      </c>
      <c r="D146" s="58"/>
      <c r="E146" s="58"/>
      <c r="F146" s="58"/>
      <c r="G146" s="59">
        <v>40</v>
      </c>
      <c r="H146" s="59">
        <v>4</v>
      </c>
      <c r="I146" s="57" t="s">
        <v>973</v>
      </c>
    </row>
    <row r="147" spans="1:9" x14ac:dyDescent="0.2">
      <c r="A147" s="54" t="s">
        <v>334</v>
      </c>
      <c r="B147" s="55" t="s">
        <v>335</v>
      </c>
      <c r="C147" s="55">
        <v>222313000</v>
      </c>
      <c r="D147" s="55"/>
      <c r="E147" s="55"/>
      <c r="F147" s="55"/>
      <c r="G147" s="56">
        <v>40</v>
      </c>
      <c r="H147" s="56">
        <v>4</v>
      </c>
      <c r="I147" s="54" t="s">
        <v>973</v>
      </c>
    </row>
    <row r="148" spans="1:9" x14ac:dyDescent="0.2">
      <c r="A148" s="57" t="s">
        <v>336</v>
      </c>
      <c r="B148" s="58" t="s">
        <v>337</v>
      </c>
      <c r="C148" s="58">
        <v>229216000</v>
      </c>
      <c r="D148" s="58"/>
      <c r="E148" s="58"/>
      <c r="F148" s="58"/>
      <c r="G148" s="59">
        <v>40</v>
      </c>
      <c r="H148" s="59">
        <v>4</v>
      </c>
      <c r="I148" s="57" t="s">
        <v>973</v>
      </c>
    </row>
    <row r="149" spans="1:9" x14ac:dyDescent="0.2">
      <c r="A149" s="54" t="s">
        <v>338</v>
      </c>
      <c r="B149" s="55" t="s">
        <v>339</v>
      </c>
      <c r="C149" s="55">
        <v>311045000</v>
      </c>
      <c r="D149" s="55"/>
      <c r="E149" s="55"/>
      <c r="F149" s="55"/>
      <c r="G149" s="56">
        <v>40</v>
      </c>
      <c r="H149" s="56">
        <v>4</v>
      </c>
      <c r="I149" s="54" t="s">
        <v>973</v>
      </c>
    </row>
    <row r="150" spans="1:9" x14ac:dyDescent="0.2">
      <c r="A150" s="57" t="s">
        <v>340</v>
      </c>
      <c r="B150" s="58" t="s">
        <v>341</v>
      </c>
      <c r="C150" s="58">
        <v>326814000</v>
      </c>
      <c r="D150" s="58"/>
      <c r="E150" s="58"/>
      <c r="F150" s="58"/>
      <c r="G150" s="59">
        <v>40</v>
      </c>
      <c r="H150" s="59">
        <v>4</v>
      </c>
      <c r="I150" s="57" t="s">
        <v>973</v>
      </c>
    </row>
    <row r="151" spans="1:9" x14ac:dyDescent="0.2">
      <c r="A151" s="54" t="s">
        <v>342</v>
      </c>
      <c r="B151" s="55" t="s">
        <v>343</v>
      </c>
      <c r="C151" s="55">
        <v>380053000</v>
      </c>
      <c r="D151" s="55"/>
      <c r="E151" s="55"/>
      <c r="F151" s="55"/>
      <c r="G151" s="56">
        <v>40</v>
      </c>
      <c r="H151" s="56">
        <v>4</v>
      </c>
      <c r="I151" s="54" t="s">
        <v>973</v>
      </c>
    </row>
    <row r="152" spans="1:9" x14ac:dyDescent="0.2">
      <c r="A152" s="57" t="s">
        <v>344</v>
      </c>
      <c r="B152" s="58" t="s">
        <v>345</v>
      </c>
      <c r="C152" s="58">
        <v>393900000</v>
      </c>
      <c r="D152" s="58"/>
      <c r="E152" s="58"/>
      <c r="F152" s="58"/>
      <c r="G152" s="59">
        <v>40</v>
      </c>
      <c r="H152" s="59">
        <v>4</v>
      </c>
      <c r="I152" s="57" t="s">
        <v>973</v>
      </c>
    </row>
    <row r="153" spans="1:9" x14ac:dyDescent="0.2">
      <c r="A153" s="54" t="s">
        <v>346</v>
      </c>
      <c r="B153" s="55" t="s">
        <v>347</v>
      </c>
      <c r="C153" s="55">
        <v>261089000</v>
      </c>
      <c r="D153" s="55"/>
      <c r="E153" s="55"/>
      <c r="F153" s="55"/>
      <c r="G153" s="56">
        <v>40</v>
      </c>
      <c r="H153" s="56">
        <v>4</v>
      </c>
      <c r="I153" s="54" t="s">
        <v>973</v>
      </c>
    </row>
    <row r="154" spans="1:9" x14ac:dyDescent="0.2">
      <c r="A154" s="57" t="s">
        <v>348</v>
      </c>
      <c r="B154" s="58" t="s">
        <v>349</v>
      </c>
      <c r="C154" s="58">
        <v>276756000</v>
      </c>
      <c r="D154" s="58"/>
      <c r="E154" s="58"/>
      <c r="F154" s="58"/>
      <c r="G154" s="59">
        <v>40</v>
      </c>
      <c r="H154" s="59">
        <v>4</v>
      </c>
      <c r="I154" s="57" t="s">
        <v>973</v>
      </c>
    </row>
    <row r="155" spans="1:9" x14ac:dyDescent="0.2">
      <c r="A155" s="54" t="s">
        <v>350</v>
      </c>
      <c r="B155" s="55" t="s">
        <v>351</v>
      </c>
      <c r="C155" s="55">
        <v>313713000</v>
      </c>
      <c r="D155" s="55"/>
      <c r="E155" s="55"/>
      <c r="F155" s="55"/>
      <c r="G155" s="56">
        <v>40</v>
      </c>
      <c r="H155" s="56">
        <v>4</v>
      </c>
      <c r="I155" s="54" t="s">
        <v>973</v>
      </c>
    </row>
    <row r="156" spans="1:9" x14ac:dyDescent="0.2">
      <c r="A156" s="57" t="s">
        <v>352</v>
      </c>
      <c r="B156" s="58" t="s">
        <v>353</v>
      </c>
      <c r="C156" s="58">
        <v>327519000</v>
      </c>
      <c r="D156" s="58"/>
      <c r="E156" s="58"/>
      <c r="F156" s="58"/>
      <c r="G156" s="59">
        <v>40</v>
      </c>
      <c r="H156" s="59">
        <v>4</v>
      </c>
      <c r="I156" s="57" t="s">
        <v>973</v>
      </c>
    </row>
    <row r="157" spans="1:9" x14ac:dyDescent="0.2">
      <c r="A157" s="54" t="s">
        <v>354</v>
      </c>
      <c r="B157" s="55" t="s">
        <v>355</v>
      </c>
      <c r="C157" s="55">
        <v>2526812000</v>
      </c>
      <c r="D157" s="55"/>
      <c r="E157" s="55"/>
      <c r="F157" s="55"/>
      <c r="G157" s="56">
        <v>40</v>
      </c>
      <c r="H157" s="56">
        <v>4</v>
      </c>
      <c r="I157" s="54" t="s">
        <v>973</v>
      </c>
    </row>
    <row r="158" spans="1:9" x14ac:dyDescent="0.2">
      <c r="A158" s="57" t="s">
        <v>356</v>
      </c>
      <c r="B158" s="58" t="s">
        <v>357</v>
      </c>
      <c r="C158" s="58">
        <v>1643678000</v>
      </c>
      <c r="D158" s="58"/>
      <c r="E158" s="58"/>
      <c r="F158" s="58"/>
      <c r="G158" s="59">
        <v>40</v>
      </c>
      <c r="H158" s="59">
        <v>4</v>
      </c>
      <c r="I158" s="57" t="s">
        <v>973</v>
      </c>
    </row>
    <row r="159" spans="1:9" x14ac:dyDescent="0.2">
      <c r="A159" s="54" t="s">
        <v>358</v>
      </c>
      <c r="B159" s="55" t="s">
        <v>359</v>
      </c>
      <c r="C159" s="55">
        <v>208304000</v>
      </c>
      <c r="D159" s="55"/>
      <c r="E159" s="55"/>
      <c r="F159" s="55"/>
      <c r="G159" s="56">
        <v>40</v>
      </c>
      <c r="H159" s="56">
        <v>4</v>
      </c>
      <c r="I159" s="54" t="s">
        <v>973</v>
      </c>
    </row>
    <row r="160" spans="1:9" x14ac:dyDescent="0.2">
      <c r="A160" s="57" t="s">
        <v>360</v>
      </c>
      <c r="B160" s="58" t="s">
        <v>361</v>
      </c>
      <c r="C160" s="58">
        <v>32685000</v>
      </c>
      <c r="D160" s="58"/>
      <c r="E160" s="58"/>
      <c r="F160" s="58"/>
      <c r="G160" s="59">
        <v>40</v>
      </c>
      <c r="H160" s="59">
        <v>4</v>
      </c>
      <c r="I160" s="57" t="s">
        <v>973</v>
      </c>
    </row>
    <row r="161" spans="1:9" x14ac:dyDescent="0.2">
      <c r="A161" s="54" t="s">
        <v>362</v>
      </c>
      <c r="B161" s="55" t="s">
        <v>363</v>
      </c>
      <c r="C161" s="55">
        <v>211154000</v>
      </c>
      <c r="D161" s="55"/>
      <c r="E161" s="55"/>
      <c r="F161" s="55"/>
      <c r="G161" s="56">
        <v>30</v>
      </c>
      <c r="H161" s="56">
        <v>2</v>
      </c>
      <c r="I161" s="54" t="s">
        <v>974</v>
      </c>
    </row>
    <row r="162" spans="1:9" x14ac:dyDescent="0.2">
      <c r="A162" s="57" t="s">
        <v>364</v>
      </c>
      <c r="B162" s="58" t="s">
        <v>365</v>
      </c>
      <c r="C162" s="58">
        <v>199147000</v>
      </c>
      <c r="D162" s="58"/>
      <c r="E162" s="58"/>
      <c r="F162" s="58"/>
      <c r="G162" s="59">
        <v>30</v>
      </c>
      <c r="H162" s="59">
        <v>2</v>
      </c>
      <c r="I162" s="57" t="s">
        <v>974</v>
      </c>
    </row>
    <row r="163" spans="1:9" x14ac:dyDescent="0.2">
      <c r="A163" s="54" t="s">
        <v>366</v>
      </c>
      <c r="B163" s="55" t="s">
        <v>367</v>
      </c>
      <c r="C163" s="55">
        <v>231263000</v>
      </c>
      <c r="D163" s="55"/>
      <c r="E163" s="55"/>
      <c r="F163" s="55"/>
      <c r="G163" s="56">
        <v>30</v>
      </c>
      <c r="H163" s="56">
        <v>2</v>
      </c>
      <c r="I163" s="54" t="s">
        <v>974</v>
      </c>
    </row>
    <row r="164" spans="1:9" x14ac:dyDescent="0.2">
      <c r="A164" s="57" t="s">
        <v>368</v>
      </c>
      <c r="B164" s="58" t="s">
        <v>369</v>
      </c>
      <c r="C164" s="58">
        <v>219263000</v>
      </c>
      <c r="D164" s="58"/>
      <c r="E164" s="58"/>
      <c r="F164" s="58"/>
      <c r="G164" s="59">
        <v>30</v>
      </c>
      <c r="H164" s="59">
        <v>2</v>
      </c>
      <c r="I164" s="57" t="s">
        <v>974</v>
      </c>
    </row>
    <row r="165" spans="1:9" x14ac:dyDescent="0.2">
      <c r="A165" s="54" t="s">
        <v>370</v>
      </c>
      <c r="B165" s="55" t="s">
        <v>371</v>
      </c>
      <c r="C165" s="55">
        <v>226892000</v>
      </c>
      <c r="D165" s="55"/>
      <c r="E165" s="55"/>
      <c r="F165" s="55"/>
      <c r="G165" s="56">
        <v>30</v>
      </c>
      <c r="H165" s="56">
        <v>2</v>
      </c>
      <c r="I165" s="54" t="s">
        <v>974</v>
      </c>
    </row>
    <row r="166" spans="1:9" x14ac:dyDescent="0.2">
      <c r="A166" s="57" t="s">
        <v>372</v>
      </c>
      <c r="B166" s="58" t="s">
        <v>373</v>
      </c>
      <c r="C166" s="58">
        <v>209647000</v>
      </c>
      <c r="D166" s="58"/>
      <c r="E166" s="58"/>
      <c r="F166" s="58"/>
      <c r="G166" s="59">
        <v>30</v>
      </c>
      <c r="H166" s="59">
        <v>2</v>
      </c>
      <c r="I166" s="57" t="s">
        <v>974</v>
      </c>
    </row>
    <row r="167" spans="1:9" x14ac:dyDescent="0.2">
      <c r="A167" s="54" t="s">
        <v>374</v>
      </c>
      <c r="B167" s="55" t="s">
        <v>375</v>
      </c>
      <c r="C167" s="55">
        <v>72416000</v>
      </c>
      <c r="D167" s="55"/>
      <c r="E167" s="55"/>
      <c r="F167" s="55"/>
      <c r="G167" s="56">
        <v>30</v>
      </c>
      <c r="H167" s="56">
        <v>2</v>
      </c>
      <c r="I167" s="54" t="s">
        <v>974</v>
      </c>
    </row>
    <row r="168" spans="1:9" x14ac:dyDescent="0.2">
      <c r="A168" s="57" t="s">
        <v>376</v>
      </c>
      <c r="B168" s="58" t="s">
        <v>377</v>
      </c>
      <c r="C168" s="58">
        <v>183832000</v>
      </c>
      <c r="D168" s="58"/>
      <c r="E168" s="58"/>
      <c r="F168" s="58"/>
      <c r="G168" s="59">
        <v>30</v>
      </c>
      <c r="H168" s="59">
        <v>2</v>
      </c>
      <c r="I168" s="57" t="s">
        <v>974</v>
      </c>
    </row>
    <row r="169" spans="1:9" x14ac:dyDescent="0.2">
      <c r="A169" s="54" t="s">
        <v>378</v>
      </c>
      <c r="B169" s="55" t="s">
        <v>379</v>
      </c>
      <c r="C169" s="55">
        <v>105116000</v>
      </c>
      <c r="D169" s="55"/>
      <c r="E169" s="55"/>
      <c r="F169" s="55"/>
      <c r="G169" s="56">
        <v>30</v>
      </c>
      <c r="H169" s="56">
        <v>2</v>
      </c>
      <c r="I169" s="54" t="s">
        <v>974</v>
      </c>
    </row>
    <row r="170" spans="1:9" x14ac:dyDescent="0.2">
      <c r="A170" s="57" t="s">
        <v>380</v>
      </c>
      <c r="B170" s="58" t="s">
        <v>381</v>
      </c>
      <c r="C170" s="58">
        <v>109152000</v>
      </c>
      <c r="D170" s="58"/>
      <c r="E170" s="58"/>
      <c r="F170" s="58"/>
      <c r="G170" s="59">
        <v>30</v>
      </c>
      <c r="H170" s="59">
        <v>2</v>
      </c>
      <c r="I170" s="57" t="s">
        <v>974</v>
      </c>
    </row>
    <row r="171" spans="1:9" x14ac:dyDescent="0.2">
      <c r="A171" s="54" t="s">
        <v>382</v>
      </c>
      <c r="B171" s="55" t="s">
        <v>383</v>
      </c>
      <c r="C171" s="55">
        <v>97783000</v>
      </c>
      <c r="D171" s="55"/>
      <c r="E171" s="55"/>
      <c r="F171" s="55"/>
      <c r="G171" s="56">
        <v>30</v>
      </c>
      <c r="H171" s="56">
        <v>2</v>
      </c>
      <c r="I171" s="54" t="s">
        <v>974</v>
      </c>
    </row>
    <row r="172" spans="1:9" x14ac:dyDescent="0.2">
      <c r="A172" s="57" t="s">
        <v>384</v>
      </c>
      <c r="B172" s="58" t="s">
        <v>385</v>
      </c>
      <c r="C172" s="58">
        <v>97011000</v>
      </c>
      <c r="D172" s="58"/>
      <c r="E172" s="58"/>
      <c r="F172" s="58"/>
      <c r="G172" s="59">
        <v>30</v>
      </c>
      <c r="H172" s="59">
        <v>2</v>
      </c>
      <c r="I172" s="57" t="s">
        <v>974</v>
      </c>
    </row>
    <row r="173" spans="1:9" x14ac:dyDescent="0.2">
      <c r="A173" s="54" t="s">
        <v>386</v>
      </c>
      <c r="B173" s="55" t="s">
        <v>387</v>
      </c>
      <c r="C173" s="55">
        <v>136263000</v>
      </c>
      <c r="D173" s="55"/>
      <c r="E173" s="55"/>
      <c r="F173" s="55"/>
      <c r="G173" s="56">
        <v>30</v>
      </c>
      <c r="H173" s="56">
        <v>2</v>
      </c>
      <c r="I173" s="54" t="s">
        <v>974</v>
      </c>
    </row>
    <row r="174" spans="1:9" x14ac:dyDescent="0.2">
      <c r="A174" s="57" t="s">
        <v>388</v>
      </c>
      <c r="B174" s="58" t="s">
        <v>389</v>
      </c>
      <c r="C174" s="58">
        <v>53178000</v>
      </c>
      <c r="D174" s="58"/>
      <c r="E174" s="58"/>
      <c r="F174" s="58"/>
      <c r="G174" s="59">
        <v>30</v>
      </c>
      <c r="H174" s="59">
        <v>2</v>
      </c>
      <c r="I174" s="57" t="s">
        <v>974</v>
      </c>
    </row>
    <row r="175" spans="1:9" x14ac:dyDescent="0.2">
      <c r="A175" s="54" t="s">
        <v>390</v>
      </c>
      <c r="B175" s="55" t="s">
        <v>391</v>
      </c>
      <c r="C175" s="55">
        <v>135189000</v>
      </c>
      <c r="D175" s="55"/>
      <c r="E175" s="55"/>
      <c r="F175" s="55"/>
      <c r="G175" s="56">
        <v>30</v>
      </c>
      <c r="H175" s="56">
        <v>2</v>
      </c>
      <c r="I175" s="54" t="s">
        <v>974</v>
      </c>
    </row>
    <row r="176" spans="1:9" x14ac:dyDescent="0.2">
      <c r="A176" s="57" t="s">
        <v>392</v>
      </c>
      <c r="B176" s="58" t="s">
        <v>393</v>
      </c>
      <c r="C176" s="58">
        <v>115716000</v>
      </c>
      <c r="D176" s="58"/>
      <c r="E176" s="58"/>
      <c r="F176" s="58"/>
      <c r="G176" s="59">
        <v>30</v>
      </c>
      <c r="H176" s="59">
        <v>2</v>
      </c>
      <c r="I176" s="57" t="s">
        <v>974</v>
      </c>
    </row>
    <row r="177" spans="1:9" x14ac:dyDescent="0.2">
      <c r="A177" s="54" t="s">
        <v>394</v>
      </c>
      <c r="B177" s="55" t="s">
        <v>395</v>
      </c>
      <c r="C177" s="55">
        <v>103865000</v>
      </c>
      <c r="D177" s="55"/>
      <c r="E177" s="55"/>
      <c r="F177" s="55"/>
      <c r="G177" s="56">
        <v>30</v>
      </c>
      <c r="H177" s="56">
        <v>2</v>
      </c>
      <c r="I177" s="54" t="s">
        <v>974</v>
      </c>
    </row>
    <row r="178" spans="1:9" x14ac:dyDescent="0.2">
      <c r="A178" s="57" t="s">
        <v>396</v>
      </c>
      <c r="B178" s="58" t="s">
        <v>397</v>
      </c>
      <c r="C178" s="58">
        <v>102405000</v>
      </c>
      <c r="D178" s="58"/>
      <c r="E178" s="58"/>
      <c r="F178" s="58"/>
      <c r="G178" s="59">
        <v>30</v>
      </c>
      <c r="H178" s="59">
        <v>2</v>
      </c>
      <c r="I178" s="57" t="s">
        <v>974</v>
      </c>
    </row>
    <row r="179" spans="1:9" x14ac:dyDescent="0.2">
      <c r="A179" s="54" t="s">
        <v>398</v>
      </c>
      <c r="B179" s="55" t="s">
        <v>399</v>
      </c>
      <c r="C179" s="55">
        <v>58129000</v>
      </c>
      <c r="D179" s="55"/>
      <c r="E179" s="55"/>
      <c r="F179" s="55"/>
      <c r="G179" s="56">
        <v>30</v>
      </c>
      <c r="H179" s="56">
        <v>2</v>
      </c>
      <c r="I179" s="54" t="s">
        <v>974</v>
      </c>
    </row>
    <row r="180" spans="1:9" x14ac:dyDescent="0.2">
      <c r="A180" s="57" t="s">
        <v>400</v>
      </c>
      <c r="B180" s="58" t="s">
        <v>401</v>
      </c>
      <c r="C180" s="58">
        <v>17222000</v>
      </c>
      <c r="D180" s="58"/>
      <c r="E180" s="58"/>
      <c r="F180" s="58"/>
      <c r="G180" s="59">
        <v>30</v>
      </c>
      <c r="H180" s="59">
        <v>2</v>
      </c>
      <c r="I180" s="57" t="s">
        <v>974</v>
      </c>
    </row>
    <row r="181" spans="1:9" x14ac:dyDescent="0.2">
      <c r="A181" s="54" t="s">
        <v>402</v>
      </c>
      <c r="B181" s="55" t="s">
        <v>403</v>
      </c>
      <c r="C181" s="55">
        <v>23803000</v>
      </c>
      <c r="D181" s="55"/>
      <c r="E181" s="55"/>
      <c r="F181" s="55"/>
      <c r="G181" s="56">
        <v>30</v>
      </c>
      <c r="H181" s="56">
        <v>2</v>
      </c>
      <c r="I181" s="54" t="s">
        <v>974</v>
      </c>
    </row>
    <row r="182" spans="1:9" x14ac:dyDescent="0.2">
      <c r="A182" s="57" t="s">
        <v>404</v>
      </c>
      <c r="B182" s="58" t="s">
        <v>405</v>
      </c>
      <c r="C182" s="58">
        <v>30639000</v>
      </c>
      <c r="D182" s="58"/>
      <c r="E182" s="58"/>
      <c r="F182" s="58"/>
      <c r="G182" s="59">
        <v>30</v>
      </c>
      <c r="H182" s="59">
        <v>2</v>
      </c>
      <c r="I182" s="57" t="s">
        <v>974</v>
      </c>
    </row>
    <row r="183" spans="1:9" x14ac:dyDescent="0.2">
      <c r="A183" s="54" t="s">
        <v>406</v>
      </c>
      <c r="B183" s="55" t="s">
        <v>407</v>
      </c>
      <c r="C183" s="55">
        <v>30451000</v>
      </c>
      <c r="D183" s="55"/>
      <c r="E183" s="55"/>
      <c r="F183" s="55"/>
      <c r="G183" s="56">
        <v>30</v>
      </c>
      <c r="H183" s="56">
        <v>2</v>
      </c>
      <c r="I183" s="54" t="s">
        <v>974</v>
      </c>
    </row>
    <row r="184" spans="1:9" x14ac:dyDescent="0.2">
      <c r="A184" s="57" t="s">
        <v>408</v>
      </c>
      <c r="B184" s="58" t="s">
        <v>409</v>
      </c>
      <c r="C184" s="58">
        <v>44082000</v>
      </c>
      <c r="D184" s="58"/>
      <c r="E184" s="58"/>
      <c r="F184" s="58"/>
      <c r="G184" s="59">
        <v>30</v>
      </c>
      <c r="H184" s="59">
        <v>2</v>
      </c>
      <c r="I184" s="57" t="s">
        <v>974</v>
      </c>
    </row>
    <row r="185" spans="1:9" x14ac:dyDescent="0.2">
      <c r="A185" s="54" t="s">
        <v>410</v>
      </c>
      <c r="B185" s="55" t="s">
        <v>411</v>
      </c>
      <c r="C185" s="55">
        <v>57201000</v>
      </c>
      <c r="D185" s="55"/>
      <c r="E185" s="55"/>
      <c r="F185" s="55"/>
      <c r="G185" s="56">
        <v>30</v>
      </c>
      <c r="H185" s="56">
        <v>2</v>
      </c>
      <c r="I185" s="54" t="s">
        <v>974</v>
      </c>
    </row>
    <row r="186" spans="1:9" x14ac:dyDescent="0.2">
      <c r="A186" s="57" t="s">
        <v>412</v>
      </c>
      <c r="B186" s="58" t="s">
        <v>413</v>
      </c>
      <c r="C186" s="58">
        <v>30451000</v>
      </c>
      <c r="D186" s="58"/>
      <c r="E186" s="58"/>
      <c r="F186" s="58"/>
      <c r="G186" s="59">
        <v>30</v>
      </c>
      <c r="H186" s="59">
        <v>2</v>
      </c>
      <c r="I186" s="57" t="s">
        <v>974</v>
      </c>
    </row>
    <row r="187" spans="1:9" x14ac:dyDescent="0.2">
      <c r="A187" s="54" t="s">
        <v>414</v>
      </c>
      <c r="B187" s="55" t="s">
        <v>415</v>
      </c>
      <c r="C187" s="55">
        <v>44082000</v>
      </c>
      <c r="D187" s="55"/>
      <c r="E187" s="55"/>
      <c r="F187" s="55"/>
      <c r="G187" s="56">
        <v>30</v>
      </c>
      <c r="H187" s="56">
        <v>2</v>
      </c>
      <c r="I187" s="54" t="s">
        <v>974</v>
      </c>
    </row>
    <row r="188" spans="1:9" x14ac:dyDescent="0.2">
      <c r="A188" s="57" t="s">
        <v>416</v>
      </c>
      <c r="B188" s="58" t="s">
        <v>417</v>
      </c>
      <c r="C188" s="58">
        <v>57201000</v>
      </c>
      <c r="D188" s="58"/>
      <c r="E188" s="58"/>
      <c r="F188" s="58"/>
      <c r="G188" s="59">
        <v>30</v>
      </c>
      <c r="H188" s="59">
        <v>2</v>
      </c>
      <c r="I188" s="57" t="s">
        <v>974</v>
      </c>
    </row>
    <row r="189" spans="1:9" x14ac:dyDescent="0.2">
      <c r="A189" s="54" t="s">
        <v>418</v>
      </c>
      <c r="B189" s="55" t="s">
        <v>419</v>
      </c>
      <c r="C189" s="55">
        <v>14239000</v>
      </c>
      <c r="D189" s="55"/>
      <c r="E189" s="55"/>
      <c r="F189" s="55"/>
      <c r="G189" s="56">
        <v>30</v>
      </c>
      <c r="H189" s="56">
        <v>2</v>
      </c>
      <c r="I189" s="54" t="s">
        <v>974</v>
      </c>
    </row>
    <row r="190" spans="1:9" x14ac:dyDescent="0.2">
      <c r="A190" s="57" t="s">
        <v>420</v>
      </c>
      <c r="B190" s="58" t="s">
        <v>421</v>
      </c>
      <c r="C190" s="58">
        <v>330511000</v>
      </c>
      <c r="D190" s="58"/>
      <c r="E190" s="58"/>
      <c r="F190" s="58"/>
      <c r="G190" s="59">
        <v>30</v>
      </c>
      <c r="H190" s="59">
        <v>3</v>
      </c>
      <c r="I190" s="57" t="s">
        <v>974</v>
      </c>
    </row>
    <row r="191" spans="1:9" x14ac:dyDescent="0.2">
      <c r="A191" s="54" t="s">
        <v>422</v>
      </c>
      <c r="B191" s="55" t="s">
        <v>365</v>
      </c>
      <c r="C191" s="55">
        <v>279974000</v>
      </c>
      <c r="D191" s="55"/>
      <c r="E191" s="55"/>
      <c r="F191" s="55"/>
      <c r="G191" s="56">
        <v>30</v>
      </c>
      <c r="H191" s="56">
        <v>3</v>
      </c>
      <c r="I191" s="54" t="s">
        <v>974</v>
      </c>
    </row>
    <row r="192" spans="1:9" x14ac:dyDescent="0.2">
      <c r="A192" s="57" t="s">
        <v>423</v>
      </c>
      <c r="B192" s="58" t="s">
        <v>367</v>
      </c>
      <c r="C192" s="58">
        <v>362691000</v>
      </c>
      <c r="D192" s="58"/>
      <c r="E192" s="58"/>
      <c r="F192" s="58"/>
      <c r="G192" s="59">
        <v>30</v>
      </c>
      <c r="H192" s="59">
        <v>3</v>
      </c>
      <c r="I192" s="57" t="s">
        <v>974</v>
      </c>
    </row>
    <row r="193" spans="1:9" x14ac:dyDescent="0.2">
      <c r="A193" s="54" t="s">
        <v>424</v>
      </c>
      <c r="B193" s="55" t="s">
        <v>369</v>
      </c>
      <c r="C193" s="55">
        <v>288396000</v>
      </c>
      <c r="D193" s="55"/>
      <c r="E193" s="55"/>
      <c r="F193" s="55"/>
      <c r="G193" s="56">
        <v>30</v>
      </c>
      <c r="H193" s="56">
        <v>3</v>
      </c>
      <c r="I193" s="54" t="s">
        <v>974</v>
      </c>
    </row>
    <row r="194" spans="1:9" x14ac:dyDescent="0.2">
      <c r="A194" s="57" t="s">
        <v>425</v>
      </c>
      <c r="B194" s="58" t="s">
        <v>371</v>
      </c>
      <c r="C194" s="58">
        <v>362791000</v>
      </c>
      <c r="D194" s="58"/>
      <c r="E194" s="58"/>
      <c r="F194" s="58"/>
      <c r="G194" s="59">
        <v>30</v>
      </c>
      <c r="H194" s="59">
        <v>3</v>
      </c>
      <c r="I194" s="57" t="s">
        <v>974</v>
      </c>
    </row>
    <row r="195" spans="1:9" x14ac:dyDescent="0.2">
      <c r="A195" s="54" t="s">
        <v>426</v>
      </c>
      <c r="B195" s="55" t="s">
        <v>373</v>
      </c>
      <c r="C195" s="55">
        <v>312283000</v>
      </c>
      <c r="D195" s="55"/>
      <c r="E195" s="55"/>
      <c r="F195" s="55"/>
      <c r="G195" s="56">
        <v>30</v>
      </c>
      <c r="H195" s="56">
        <v>3</v>
      </c>
      <c r="I195" s="54" t="s">
        <v>974</v>
      </c>
    </row>
    <row r="196" spans="1:9" x14ac:dyDescent="0.2">
      <c r="A196" s="57" t="s">
        <v>427</v>
      </c>
      <c r="B196" s="58" t="s">
        <v>428</v>
      </c>
      <c r="C196" s="58">
        <v>433388000</v>
      </c>
      <c r="D196" s="58"/>
      <c r="E196" s="58"/>
      <c r="F196" s="58"/>
      <c r="G196" s="59">
        <v>30</v>
      </c>
      <c r="H196" s="59">
        <v>3</v>
      </c>
      <c r="I196" s="57" t="s">
        <v>974</v>
      </c>
    </row>
    <row r="197" spans="1:9" x14ac:dyDescent="0.2">
      <c r="A197" s="54" t="s">
        <v>429</v>
      </c>
      <c r="B197" s="55" t="s">
        <v>430</v>
      </c>
      <c r="C197" s="55">
        <v>386204000</v>
      </c>
      <c r="D197" s="55"/>
      <c r="E197" s="55"/>
      <c r="F197" s="55"/>
      <c r="G197" s="56">
        <v>30</v>
      </c>
      <c r="H197" s="56">
        <v>3</v>
      </c>
      <c r="I197" s="54" t="s">
        <v>974</v>
      </c>
    </row>
    <row r="198" spans="1:9" x14ac:dyDescent="0.2">
      <c r="A198" s="57" t="s">
        <v>431</v>
      </c>
      <c r="B198" s="58" t="s">
        <v>432</v>
      </c>
      <c r="C198" s="58">
        <v>433981000</v>
      </c>
      <c r="D198" s="58"/>
      <c r="E198" s="58"/>
      <c r="F198" s="58"/>
      <c r="G198" s="59">
        <v>30</v>
      </c>
      <c r="H198" s="59">
        <v>3</v>
      </c>
      <c r="I198" s="57" t="s">
        <v>974</v>
      </c>
    </row>
    <row r="199" spans="1:9" x14ac:dyDescent="0.2">
      <c r="A199" s="54" t="s">
        <v>433</v>
      </c>
      <c r="B199" s="55" t="s">
        <v>434</v>
      </c>
      <c r="C199" s="55">
        <v>383966000</v>
      </c>
      <c r="D199" s="55"/>
      <c r="E199" s="55"/>
      <c r="F199" s="55"/>
      <c r="G199" s="56">
        <v>30</v>
      </c>
      <c r="H199" s="56">
        <v>3</v>
      </c>
      <c r="I199" s="54" t="s">
        <v>974</v>
      </c>
    </row>
    <row r="200" spans="1:9" x14ac:dyDescent="0.2">
      <c r="A200" s="57" t="s">
        <v>435</v>
      </c>
      <c r="B200" s="58" t="s">
        <v>436</v>
      </c>
      <c r="C200" s="58">
        <v>235694000</v>
      </c>
      <c r="D200" s="58"/>
      <c r="E200" s="58"/>
      <c r="F200" s="58"/>
      <c r="G200" s="59">
        <v>30</v>
      </c>
      <c r="H200" s="59">
        <v>3</v>
      </c>
      <c r="I200" s="57" t="s">
        <v>974</v>
      </c>
    </row>
    <row r="201" spans="1:9" x14ac:dyDescent="0.2">
      <c r="A201" s="54" t="s">
        <v>437</v>
      </c>
      <c r="B201" s="55" t="s">
        <v>438</v>
      </c>
      <c r="C201" s="55">
        <v>162889000</v>
      </c>
      <c r="D201" s="55"/>
      <c r="E201" s="55"/>
      <c r="F201" s="55"/>
      <c r="G201" s="56">
        <v>30</v>
      </c>
      <c r="H201" s="56">
        <v>3</v>
      </c>
      <c r="I201" s="54" t="s">
        <v>974</v>
      </c>
    </row>
    <row r="202" spans="1:9" x14ac:dyDescent="0.2">
      <c r="A202" s="57" t="s">
        <v>439</v>
      </c>
      <c r="B202" s="58" t="s">
        <v>440</v>
      </c>
      <c r="C202" s="58">
        <v>228601000</v>
      </c>
      <c r="D202" s="58"/>
      <c r="E202" s="58"/>
      <c r="F202" s="58"/>
      <c r="G202" s="59">
        <v>30</v>
      </c>
      <c r="H202" s="59">
        <v>3</v>
      </c>
      <c r="I202" s="57" t="s">
        <v>974</v>
      </c>
    </row>
    <row r="203" spans="1:9" x14ac:dyDescent="0.2">
      <c r="A203" s="54" t="s">
        <v>441</v>
      </c>
      <c r="B203" s="55" t="s">
        <v>442</v>
      </c>
      <c r="C203" s="55">
        <v>137296000</v>
      </c>
      <c r="D203" s="55"/>
      <c r="E203" s="55"/>
      <c r="F203" s="55"/>
      <c r="G203" s="56">
        <v>30</v>
      </c>
      <c r="H203" s="56">
        <v>3</v>
      </c>
      <c r="I203" s="54" t="s">
        <v>974</v>
      </c>
    </row>
    <row r="204" spans="1:9" x14ac:dyDescent="0.2">
      <c r="A204" s="57" t="s">
        <v>443</v>
      </c>
      <c r="B204" s="58" t="s">
        <v>444</v>
      </c>
      <c r="C204" s="58">
        <v>287591000</v>
      </c>
      <c r="D204" s="58"/>
      <c r="E204" s="58"/>
      <c r="F204" s="58"/>
      <c r="G204" s="59">
        <v>30</v>
      </c>
      <c r="H204" s="59">
        <v>3</v>
      </c>
      <c r="I204" s="57" t="s">
        <v>974</v>
      </c>
    </row>
    <row r="205" spans="1:9" x14ac:dyDescent="0.2">
      <c r="A205" s="54" t="s">
        <v>445</v>
      </c>
      <c r="B205" s="55" t="s">
        <v>446</v>
      </c>
      <c r="C205" s="55">
        <v>135324000</v>
      </c>
      <c r="D205" s="55"/>
      <c r="E205" s="55"/>
      <c r="F205" s="55"/>
      <c r="G205" s="56">
        <v>30</v>
      </c>
      <c r="H205" s="56">
        <v>3</v>
      </c>
      <c r="I205" s="54" t="s">
        <v>974</v>
      </c>
    </row>
    <row r="206" spans="1:9" x14ac:dyDescent="0.2">
      <c r="A206" s="57" t="s">
        <v>447</v>
      </c>
      <c r="B206" s="58" t="s">
        <v>448</v>
      </c>
      <c r="C206" s="58">
        <v>84812000</v>
      </c>
      <c r="D206" s="58"/>
      <c r="E206" s="58"/>
      <c r="F206" s="58"/>
      <c r="G206" s="59">
        <v>30</v>
      </c>
      <c r="H206" s="59">
        <v>3</v>
      </c>
      <c r="I206" s="57" t="s">
        <v>974</v>
      </c>
    </row>
    <row r="207" spans="1:9" x14ac:dyDescent="0.2">
      <c r="A207" s="54" t="s">
        <v>449</v>
      </c>
      <c r="B207" s="55" t="s">
        <v>450</v>
      </c>
      <c r="C207" s="55">
        <v>83685000</v>
      </c>
      <c r="D207" s="55"/>
      <c r="E207" s="55"/>
      <c r="F207" s="55"/>
      <c r="G207" s="56">
        <v>30</v>
      </c>
      <c r="H207" s="56">
        <v>3</v>
      </c>
      <c r="I207" s="54" t="s">
        <v>974</v>
      </c>
    </row>
    <row r="208" spans="1:9" x14ac:dyDescent="0.2">
      <c r="A208" s="57" t="s">
        <v>451</v>
      </c>
      <c r="B208" s="58" t="s">
        <v>452</v>
      </c>
      <c r="C208" s="58">
        <v>227998000</v>
      </c>
      <c r="D208" s="58"/>
      <c r="E208" s="58"/>
      <c r="F208" s="58"/>
      <c r="G208" s="59">
        <v>30</v>
      </c>
      <c r="H208" s="59">
        <v>3</v>
      </c>
      <c r="I208" s="57" t="s">
        <v>974</v>
      </c>
    </row>
    <row r="209" spans="1:9" x14ac:dyDescent="0.2">
      <c r="A209" s="54" t="s">
        <v>453</v>
      </c>
      <c r="B209" s="55" t="s">
        <v>454</v>
      </c>
      <c r="C209" s="55">
        <v>316972000</v>
      </c>
      <c r="D209" s="55"/>
      <c r="E209" s="55"/>
      <c r="F209" s="55"/>
      <c r="G209" s="56">
        <v>30</v>
      </c>
      <c r="H209" s="56">
        <v>3</v>
      </c>
      <c r="I209" s="54" t="s">
        <v>974</v>
      </c>
    </row>
    <row r="210" spans="1:9" x14ac:dyDescent="0.2">
      <c r="A210" s="57" t="s">
        <v>455</v>
      </c>
      <c r="B210" s="58" t="s">
        <v>456</v>
      </c>
      <c r="C210" s="58">
        <v>31649000</v>
      </c>
      <c r="D210" s="58"/>
      <c r="E210" s="58"/>
      <c r="F210" s="58"/>
      <c r="G210" s="59">
        <v>30</v>
      </c>
      <c r="H210" s="59">
        <v>3</v>
      </c>
      <c r="I210" s="57" t="s">
        <v>974</v>
      </c>
    </row>
    <row r="211" spans="1:9" x14ac:dyDescent="0.2">
      <c r="A211" s="54" t="s">
        <v>457</v>
      </c>
      <c r="B211" s="55" t="s">
        <v>458</v>
      </c>
      <c r="C211" s="55">
        <v>33563000</v>
      </c>
      <c r="D211" s="55"/>
      <c r="E211" s="55"/>
      <c r="F211" s="55"/>
      <c r="G211" s="56">
        <v>30</v>
      </c>
      <c r="H211" s="56">
        <v>3</v>
      </c>
      <c r="I211" s="54" t="s">
        <v>974</v>
      </c>
    </row>
    <row r="212" spans="1:9" x14ac:dyDescent="0.2">
      <c r="A212" s="57" t="s">
        <v>459</v>
      </c>
      <c r="B212" s="58" t="s">
        <v>460</v>
      </c>
      <c r="C212" s="58">
        <v>58762000</v>
      </c>
      <c r="D212" s="58"/>
      <c r="E212" s="58"/>
      <c r="F212" s="58"/>
      <c r="G212" s="59">
        <v>30</v>
      </c>
      <c r="H212" s="59">
        <v>3</v>
      </c>
      <c r="I212" s="57" t="s">
        <v>974</v>
      </c>
    </row>
    <row r="213" spans="1:9" x14ac:dyDescent="0.2">
      <c r="A213" s="54" t="s">
        <v>461</v>
      </c>
      <c r="B213" s="55" t="s">
        <v>462</v>
      </c>
      <c r="C213" s="55">
        <v>30596000</v>
      </c>
      <c r="D213" s="55"/>
      <c r="E213" s="55"/>
      <c r="F213" s="55"/>
      <c r="G213" s="56">
        <v>30</v>
      </c>
      <c r="H213" s="56">
        <v>3</v>
      </c>
      <c r="I213" s="54" t="s">
        <v>974</v>
      </c>
    </row>
    <row r="214" spans="1:9" x14ac:dyDescent="0.2">
      <c r="A214" s="57" t="s">
        <v>463</v>
      </c>
      <c r="B214" s="58" t="s">
        <v>464</v>
      </c>
      <c r="C214" s="58">
        <v>43404000</v>
      </c>
      <c r="D214" s="58"/>
      <c r="E214" s="58"/>
      <c r="F214" s="58"/>
      <c r="G214" s="59">
        <v>30</v>
      </c>
      <c r="H214" s="59">
        <v>3</v>
      </c>
      <c r="I214" s="57" t="s">
        <v>974</v>
      </c>
    </row>
    <row r="215" spans="1:9" x14ac:dyDescent="0.2">
      <c r="A215" s="54" t="s">
        <v>465</v>
      </c>
      <c r="B215" s="55" t="s">
        <v>466</v>
      </c>
      <c r="C215" s="55">
        <v>56738000</v>
      </c>
      <c r="D215" s="55"/>
      <c r="E215" s="55"/>
      <c r="F215" s="55"/>
      <c r="G215" s="56">
        <v>30</v>
      </c>
      <c r="H215" s="56">
        <v>3</v>
      </c>
      <c r="I215" s="54" t="s">
        <v>974</v>
      </c>
    </row>
    <row r="216" spans="1:9" x14ac:dyDescent="0.2">
      <c r="A216" s="57" t="s">
        <v>467</v>
      </c>
      <c r="B216" s="58" t="s">
        <v>468</v>
      </c>
      <c r="C216" s="58">
        <v>56503000</v>
      </c>
      <c r="D216" s="58"/>
      <c r="E216" s="58"/>
      <c r="F216" s="58"/>
      <c r="G216" s="59">
        <v>30</v>
      </c>
      <c r="H216" s="59">
        <v>3</v>
      </c>
      <c r="I216" s="57" t="s">
        <v>974</v>
      </c>
    </row>
    <row r="217" spans="1:9" x14ac:dyDescent="0.2">
      <c r="A217" s="54" t="s">
        <v>469</v>
      </c>
      <c r="B217" s="55" t="s">
        <v>470</v>
      </c>
      <c r="C217" s="55">
        <v>83130000</v>
      </c>
      <c r="D217" s="55"/>
      <c r="E217" s="55"/>
      <c r="F217" s="55"/>
      <c r="G217" s="56">
        <v>30</v>
      </c>
      <c r="H217" s="56">
        <v>3</v>
      </c>
      <c r="I217" s="54" t="s">
        <v>974</v>
      </c>
    </row>
    <row r="218" spans="1:9" x14ac:dyDescent="0.2">
      <c r="A218" s="57" t="s">
        <v>471</v>
      </c>
      <c r="B218" s="58" t="s">
        <v>472</v>
      </c>
      <c r="C218" s="58">
        <v>108704000</v>
      </c>
      <c r="D218" s="58"/>
      <c r="E218" s="58"/>
      <c r="F218" s="58"/>
      <c r="G218" s="59">
        <v>30</v>
      </c>
      <c r="H218" s="59">
        <v>3</v>
      </c>
      <c r="I218" s="57" t="s">
        <v>974</v>
      </c>
    </row>
    <row r="219" spans="1:9" x14ac:dyDescent="0.2">
      <c r="A219" s="54" t="s">
        <v>473</v>
      </c>
      <c r="B219" s="55" t="s">
        <v>474</v>
      </c>
      <c r="C219" s="55">
        <v>56503000</v>
      </c>
      <c r="D219" s="55"/>
      <c r="E219" s="55"/>
      <c r="F219" s="55"/>
      <c r="G219" s="56">
        <v>30</v>
      </c>
      <c r="H219" s="56">
        <v>3</v>
      </c>
      <c r="I219" s="54" t="s">
        <v>974</v>
      </c>
    </row>
    <row r="220" spans="1:9" x14ac:dyDescent="0.2">
      <c r="A220" s="57" t="s">
        <v>475</v>
      </c>
      <c r="B220" s="58" t="s">
        <v>476</v>
      </c>
      <c r="C220" s="58">
        <v>82077000</v>
      </c>
      <c r="D220" s="58"/>
      <c r="E220" s="58"/>
      <c r="F220" s="58"/>
      <c r="G220" s="59">
        <v>30</v>
      </c>
      <c r="H220" s="59">
        <v>3</v>
      </c>
      <c r="I220" s="57" t="s">
        <v>974</v>
      </c>
    </row>
    <row r="221" spans="1:9" x14ac:dyDescent="0.2">
      <c r="A221" s="54" t="s">
        <v>477</v>
      </c>
      <c r="B221" s="55" t="s">
        <v>478</v>
      </c>
      <c r="C221" s="55">
        <v>108704000</v>
      </c>
      <c r="D221" s="55"/>
      <c r="E221" s="55"/>
      <c r="F221" s="55"/>
      <c r="G221" s="56">
        <v>30</v>
      </c>
      <c r="H221" s="56">
        <v>3</v>
      </c>
      <c r="I221" s="54" t="s">
        <v>974</v>
      </c>
    </row>
    <row r="222" spans="1:9" x14ac:dyDescent="0.2">
      <c r="A222" s="57" t="s">
        <v>479</v>
      </c>
      <c r="B222" s="58" t="s">
        <v>480</v>
      </c>
      <c r="C222" s="58">
        <v>14388000</v>
      </c>
      <c r="D222" s="58"/>
      <c r="E222" s="58"/>
      <c r="F222" s="58"/>
      <c r="G222" s="59">
        <v>30</v>
      </c>
      <c r="H222" s="59">
        <v>3</v>
      </c>
      <c r="I222" s="57" t="s">
        <v>974</v>
      </c>
    </row>
    <row r="223" spans="1:9" x14ac:dyDescent="0.2">
      <c r="A223" s="54" t="s">
        <v>481</v>
      </c>
      <c r="B223" s="55" t="s">
        <v>482</v>
      </c>
      <c r="C223" s="55">
        <v>286545000</v>
      </c>
      <c r="D223" s="55"/>
      <c r="E223" s="55"/>
      <c r="F223" s="55"/>
      <c r="G223" s="56">
        <v>30</v>
      </c>
      <c r="H223" s="56">
        <v>3</v>
      </c>
      <c r="I223" s="54" t="s">
        <v>974</v>
      </c>
    </row>
    <row r="224" spans="1:9" x14ac:dyDescent="0.2">
      <c r="A224" s="57" t="s">
        <v>483</v>
      </c>
      <c r="B224" s="58" t="s">
        <v>484</v>
      </c>
      <c r="C224" s="58">
        <v>367658000</v>
      </c>
      <c r="D224" s="58"/>
      <c r="E224" s="58"/>
      <c r="F224" s="58"/>
      <c r="G224" s="59">
        <v>30</v>
      </c>
      <c r="H224" s="59">
        <v>3</v>
      </c>
      <c r="I224" s="57" t="s">
        <v>974</v>
      </c>
    </row>
    <row r="225" spans="1:9" x14ac:dyDescent="0.2">
      <c r="A225" s="54" t="s">
        <v>485</v>
      </c>
      <c r="B225" s="55" t="s">
        <v>486</v>
      </c>
      <c r="C225" s="55">
        <v>479784000</v>
      </c>
      <c r="D225" s="55"/>
      <c r="E225" s="55"/>
      <c r="F225" s="55"/>
      <c r="G225" s="56">
        <v>30</v>
      </c>
      <c r="H225" s="56">
        <v>3</v>
      </c>
      <c r="I225" s="54" t="s">
        <v>974</v>
      </c>
    </row>
    <row r="226" spans="1:9" x14ac:dyDescent="0.2">
      <c r="A226" s="57" t="s">
        <v>487</v>
      </c>
      <c r="B226" s="58" t="s">
        <v>488</v>
      </c>
      <c r="C226" s="58">
        <v>149978000</v>
      </c>
      <c r="D226" s="58"/>
      <c r="E226" s="58"/>
      <c r="F226" s="58"/>
      <c r="G226" s="59">
        <v>30</v>
      </c>
      <c r="H226" s="59">
        <v>3</v>
      </c>
      <c r="I226" s="57" t="s">
        <v>974</v>
      </c>
    </row>
    <row r="227" spans="1:9" x14ac:dyDescent="0.2">
      <c r="A227" s="54" t="s">
        <v>489</v>
      </c>
      <c r="B227" s="55" t="s">
        <v>490</v>
      </c>
      <c r="C227" s="55">
        <v>35407000</v>
      </c>
      <c r="D227" s="55"/>
      <c r="E227" s="55"/>
      <c r="F227" s="55"/>
      <c r="G227" s="56">
        <v>10</v>
      </c>
      <c r="H227" s="56">
        <v>3</v>
      </c>
      <c r="I227" s="54" t="s">
        <v>974</v>
      </c>
    </row>
    <row r="228" spans="1:9" x14ac:dyDescent="0.2">
      <c r="A228" s="57" t="s">
        <v>491</v>
      </c>
      <c r="B228" s="58" t="s">
        <v>492</v>
      </c>
      <c r="C228" s="58">
        <v>1845005000</v>
      </c>
      <c r="D228" s="58"/>
      <c r="E228" s="58"/>
      <c r="F228" s="58"/>
      <c r="G228" s="59">
        <v>30</v>
      </c>
      <c r="H228" s="59">
        <v>3</v>
      </c>
      <c r="I228" s="57" t="s">
        <v>974</v>
      </c>
    </row>
    <row r="229" spans="1:9" x14ac:dyDescent="0.2">
      <c r="A229" s="54" t="s">
        <v>493</v>
      </c>
      <c r="B229" s="55" t="s">
        <v>494</v>
      </c>
      <c r="C229" s="55">
        <v>1433156000</v>
      </c>
      <c r="D229" s="55"/>
      <c r="E229" s="55"/>
      <c r="F229" s="55"/>
      <c r="G229" s="56">
        <v>30</v>
      </c>
      <c r="H229" s="56">
        <v>3</v>
      </c>
      <c r="I229" s="54" t="s">
        <v>974</v>
      </c>
    </row>
    <row r="230" spans="1:9" x14ac:dyDescent="0.2">
      <c r="A230" s="57" t="s">
        <v>495</v>
      </c>
      <c r="B230" s="58" t="s">
        <v>496</v>
      </c>
      <c r="C230" s="58">
        <v>1582747000</v>
      </c>
      <c r="D230" s="58"/>
      <c r="E230" s="58"/>
      <c r="F230" s="58"/>
      <c r="G230" s="59">
        <v>30</v>
      </c>
      <c r="H230" s="59">
        <v>3</v>
      </c>
      <c r="I230" s="57" t="s">
        <v>974</v>
      </c>
    </row>
    <row r="231" spans="1:9" x14ac:dyDescent="0.2">
      <c r="A231" s="54" t="s">
        <v>497</v>
      </c>
      <c r="B231" s="55" t="s">
        <v>498</v>
      </c>
      <c r="C231" s="55">
        <v>516357000</v>
      </c>
      <c r="D231" s="55"/>
      <c r="E231" s="55"/>
      <c r="F231" s="55"/>
      <c r="G231" s="56">
        <v>30</v>
      </c>
      <c r="H231" s="56">
        <v>3</v>
      </c>
      <c r="I231" s="54" t="s">
        <v>974</v>
      </c>
    </row>
    <row r="232" spans="1:9" x14ac:dyDescent="0.2">
      <c r="A232" s="57" t="s">
        <v>499</v>
      </c>
      <c r="B232" s="58" t="s">
        <v>500</v>
      </c>
      <c r="C232" s="58">
        <v>87615000</v>
      </c>
      <c r="D232" s="58"/>
      <c r="E232" s="58"/>
      <c r="F232" s="58"/>
      <c r="G232" s="59">
        <v>30</v>
      </c>
      <c r="H232" s="59">
        <v>3</v>
      </c>
      <c r="I232" s="57" t="s">
        <v>974</v>
      </c>
    </row>
    <row r="233" spans="1:9" x14ac:dyDescent="0.2">
      <c r="A233" s="54" t="s">
        <v>501</v>
      </c>
      <c r="B233" s="55" t="s">
        <v>502</v>
      </c>
      <c r="C233" s="55">
        <v>2000000</v>
      </c>
      <c r="D233" s="55"/>
      <c r="E233" s="55"/>
      <c r="F233" s="55"/>
      <c r="G233" s="56">
        <v>30</v>
      </c>
      <c r="H233" s="56">
        <v>3</v>
      </c>
      <c r="I233" s="54" t="s">
        <v>974</v>
      </c>
    </row>
    <row r="234" spans="1:9" x14ac:dyDescent="0.2">
      <c r="A234" s="57" t="s">
        <v>503</v>
      </c>
      <c r="B234" s="58" t="s">
        <v>363</v>
      </c>
      <c r="C234" s="58">
        <v>645516000</v>
      </c>
      <c r="D234" s="58"/>
      <c r="E234" s="58"/>
      <c r="F234" s="58"/>
      <c r="G234" s="59">
        <v>30</v>
      </c>
      <c r="H234" s="59">
        <v>4</v>
      </c>
      <c r="I234" s="57" t="s">
        <v>974</v>
      </c>
    </row>
    <row r="235" spans="1:9" x14ac:dyDescent="0.2">
      <c r="A235" s="54" t="s">
        <v>504</v>
      </c>
      <c r="B235" s="55" t="s">
        <v>365</v>
      </c>
      <c r="C235" s="55">
        <v>568989000</v>
      </c>
      <c r="D235" s="55"/>
      <c r="E235" s="55"/>
      <c r="F235" s="55"/>
      <c r="G235" s="56">
        <v>30</v>
      </c>
      <c r="H235" s="56">
        <v>4</v>
      </c>
      <c r="I235" s="54" t="s">
        <v>974</v>
      </c>
    </row>
    <row r="236" spans="1:9" x14ac:dyDescent="0.2">
      <c r="A236" s="57" t="s">
        <v>505</v>
      </c>
      <c r="B236" s="58" t="s">
        <v>367</v>
      </c>
      <c r="C236" s="58">
        <v>701954000</v>
      </c>
      <c r="D236" s="58"/>
      <c r="E236" s="58"/>
      <c r="F236" s="58"/>
      <c r="G236" s="59">
        <v>30</v>
      </c>
      <c r="H236" s="59">
        <v>4</v>
      </c>
      <c r="I236" s="57" t="s">
        <v>974</v>
      </c>
    </row>
    <row r="237" spans="1:9" x14ac:dyDescent="0.2">
      <c r="A237" s="54" t="s">
        <v>506</v>
      </c>
      <c r="B237" s="55" t="s">
        <v>369</v>
      </c>
      <c r="C237" s="55">
        <v>625434000</v>
      </c>
      <c r="D237" s="55"/>
      <c r="E237" s="55"/>
      <c r="F237" s="55"/>
      <c r="G237" s="56">
        <v>30</v>
      </c>
      <c r="H237" s="56">
        <v>4</v>
      </c>
      <c r="I237" s="54" t="s">
        <v>974</v>
      </c>
    </row>
    <row r="238" spans="1:9" x14ac:dyDescent="0.2">
      <c r="A238" s="57" t="s">
        <v>507</v>
      </c>
      <c r="B238" s="58" t="s">
        <v>508</v>
      </c>
      <c r="C238" s="58">
        <v>808493000</v>
      </c>
      <c r="D238" s="58"/>
      <c r="E238" s="58"/>
      <c r="F238" s="58"/>
      <c r="G238" s="59">
        <v>30</v>
      </c>
      <c r="H238" s="59">
        <v>4</v>
      </c>
      <c r="I238" s="57" t="s">
        <v>974</v>
      </c>
    </row>
    <row r="239" spans="1:9" x14ac:dyDescent="0.2">
      <c r="A239" s="54" t="s">
        <v>509</v>
      </c>
      <c r="B239" s="55" t="s">
        <v>510</v>
      </c>
      <c r="C239" s="55">
        <v>726570000</v>
      </c>
      <c r="D239" s="55"/>
      <c r="E239" s="55"/>
      <c r="F239" s="55"/>
      <c r="G239" s="56">
        <v>30</v>
      </c>
      <c r="H239" s="56">
        <v>4</v>
      </c>
      <c r="I239" s="54" t="s">
        <v>974</v>
      </c>
    </row>
    <row r="240" spans="1:9" x14ac:dyDescent="0.2">
      <c r="A240" s="57" t="s">
        <v>511</v>
      </c>
      <c r="B240" s="58" t="s">
        <v>371</v>
      </c>
      <c r="C240" s="58">
        <v>700846000</v>
      </c>
      <c r="D240" s="58"/>
      <c r="E240" s="58"/>
      <c r="F240" s="58"/>
      <c r="G240" s="59">
        <v>30</v>
      </c>
      <c r="H240" s="59">
        <v>4</v>
      </c>
      <c r="I240" s="57" t="s">
        <v>974</v>
      </c>
    </row>
    <row r="241" spans="1:9" x14ac:dyDescent="0.2">
      <c r="A241" s="54" t="s">
        <v>512</v>
      </c>
      <c r="B241" s="55" t="s">
        <v>373</v>
      </c>
      <c r="C241" s="55">
        <v>624348000</v>
      </c>
      <c r="D241" s="55"/>
      <c r="E241" s="55"/>
      <c r="F241" s="55"/>
      <c r="G241" s="56">
        <v>30</v>
      </c>
      <c r="H241" s="56">
        <v>4</v>
      </c>
      <c r="I241" s="54" t="s">
        <v>974</v>
      </c>
    </row>
    <row r="242" spans="1:9" x14ac:dyDescent="0.2">
      <c r="A242" s="57" t="s">
        <v>513</v>
      </c>
      <c r="B242" s="58" t="s">
        <v>514</v>
      </c>
      <c r="C242" s="58">
        <v>876747000</v>
      </c>
      <c r="D242" s="58"/>
      <c r="E242" s="58"/>
      <c r="F242" s="58"/>
      <c r="G242" s="59">
        <v>30</v>
      </c>
      <c r="H242" s="59">
        <v>4</v>
      </c>
      <c r="I242" s="57" t="s">
        <v>974</v>
      </c>
    </row>
    <row r="243" spans="1:9" x14ac:dyDescent="0.2">
      <c r="A243" s="54" t="s">
        <v>515</v>
      </c>
      <c r="B243" s="55" t="s">
        <v>516</v>
      </c>
      <c r="C243" s="55">
        <v>825629000</v>
      </c>
      <c r="D243" s="55"/>
      <c r="E243" s="55"/>
      <c r="F243" s="55"/>
      <c r="G243" s="56">
        <v>30</v>
      </c>
      <c r="H243" s="56">
        <v>4</v>
      </c>
      <c r="I243" s="54" t="s">
        <v>974</v>
      </c>
    </row>
    <row r="244" spans="1:9" x14ac:dyDescent="0.2">
      <c r="A244" s="57" t="s">
        <v>517</v>
      </c>
      <c r="B244" s="58" t="s">
        <v>518</v>
      </c>
      <c r="C244" s="58">
        <v>695866000</v>
      </c>
      <c r="D244" s="58"/>
      <c r="E244" s="58"/>
      <c r="F244" s="58"/>
      <c r="G244" s="59">
        <v>30</v>
      </c>
      <c r="H244" s="59">
        <v>4</v>
      </c>
      <c r="I244" s="57" t="s">
        <v>974</v>
      </c>
    </row>
    <row r="245" spans="1:9" x14ac:dyDescent="0.2">
      <c r="A245" s="54" t="s">
        <v>519</v>
      </c>
      <c r="B245" s="55" t="s">
        <v>520</v>
      </c>
      <c r="C245" s="55">
        <v>644748000</v>
      </c>
      <c r="D245" s="55"/>
      <c r="E245" s="55"/>
      <c r="F245" s="55"/>
      <c r="G245" s="56">
        <v>30</v>
      </c>
      <c r="H245" s="56">
        <v>4</v>
      </c>
      <c r="I245" s="54" t="s">
        <v>974</v>
      </c>
    </row>
    <row r="246" spans="1:9" x14ac:dyDescent="0.2">
      <c r="A246" s="57" t="s">
        <v>521</v>
      </c>
      <c r="B246" s="58" t="s">
        <v>428</v>
      </c>
      <c r="C246" s="58">
        <v>1809964000</v>
      </c>
      <c r="D246" s="58"/>
      <c r="E246" s="58"/>
      <c r="F246" s="58"/>
      <c r="G246" s="59">
        <v>30</v>
      </c>
      <c r="H246" s="59">
        <v>4</v>
      </c>
      <c r="I246" s="57" t="s">
        <v>974</v>
      </c>
    </row>
    <row r="247" spans="1:9" x14ac:dyDescent="0.2">
      <c r="A247" s="54" t="s">
        <v>522</v>
      </c>
      <c r="B247" s="55" t="s">
        <v>523</v>
      </c>
      <c r="C247" s="55">
        <v>1739851000</v>
      </c>
      <c r="D247" s="55"/>
      <c r="E247" s="55"/>
      <c r="F247" s="55"/>
      <c r="G247" s="56">
        <v>30</v>
      </c>
      <c r="H247" s="56">
        <v>4</v>
      </c>
      <c r="I247" s="54" t="s">
        <v>974</v>
      </c>
    </row>
    <row r="248" spans="1:9" x14ac:dyDescent="0.2">
      <c r="A248" s="57" t="s">
        <v>524</v>
      </c>
      <c r="B248" s="58" t="s">
        <v>432</v>
      </c>
      <c r="C248" s="58">
        <v>1844363000</v>
      </c>
      <c r="D248" s="58"/>
      <c r="E248" s="58"/>
      <c r="F248" s="58"/>
      <c r="G248" s="59">
        <v>30</v>
      </c>
      <c r="H248" s="59">
        <v>4</v>
      </c>
      <c r="I248" s="57" t="s">
        <v>974</v>
      </c>
    </row>
    <row r="249" spans="1:9" x14ac:dyDescent="0.2">
      <c r="A249" s="54" t="s">
        <v>525</v>
      </c>
      <c r="B249" s="55" t="s">
        <v>526</v>
      </c>
      <c r="C249" s="55">
        <v>1774176000</v>
      </c>
      <c r="D249" s="55"/>
      <c r="E249" s="55"/>
      <c r="F249" s="55"/>
      <c r="G249" s="56">
        <v>30</v>
      </c>
      <c r="H249" s="56">
        <v>4</v>
      </c>
      <c r="I249" s="54" t="s">
        <v>974</v>
      </c>
    </row>
    <row r="250" spans="1:9" x14ac:dyDescent="0.2">
      <c r="A250" s="57" t="s">
        <v>527</v>
      </c>
      <c r="B250" s="58" t="s">
        <v>528</v>
      </c>
      <c r="C250" s="58">
        <v>534030000</v>
      </c>
      <c r="D250" s="58"/>
      <c r="E250" s="58"/>
      <c r="F250" s="58"/>
      <c r="G250" s="59">
        <v>30</v>
      </c>
      <c r="H250" s="59">
        <v>4</v>
      </c>
      <c r="I250" s="57" t="s">
        <v>974</v>
      </c>
    </row>
    <row r="251" spans="1:9" x14ac:dyDescent="0.2">
      <c r="A251" s="54" t="s">
        <v>529</v>
      </c>
      <c r="B251" s="55" t="s">
        <v>530</v>
      </c>
      <c r="C251" s="55">
        <v>1304904000</v>
      </c>
      <c r="D251" s="55"/>
      <c r="E251" s="55"/>
      <c r="F251" s="55"/>
      <c r="G251" s="56">
        <v>30</v>
      </c>
      <c r="H251" s="56">
        <v>4</v>
      </c>
      <c r="I251" s="54" t="s">
        <v>974</v>
      </c>
    </row>
    <row r="252" spans="1:9" x14ac:dyDescent="0.2">
      <c r="A252" s="57" t="s">
        <v>531</v>
      </c>
      <c r="B252" s="58" t="s">
        <v>532</v>
      </c>
      <c r="C252" s="58">
        <v>81322000</v>
      </c>
      <c r="D252" s="58"/>
      <c r="E252" s="58"/>
      <c r="F252" s="58"/>
      <c r="G252" s="59">
        <v>30</v>
      </c>
      <c r="H252" s="59">
        <v>4</v>
      </c>
      <c r="I252" s="57" t="s">
        <v>974</v>
      </c>
    </row>
    <row r="253" spans="1:9" x14ac:dyDescent="0.2">
      <c r="A253" s="54" t="s">
        <v>533</v>
      </c>
      <c r="B253" s="55" t="s">
        <v>534</v>
      </c>
      <c r="C253" s="55">
        <v>91189000</v>
      </c>
      <c r="D253" s="55"/>
      <c r="E253" s="55"/>
      <c r="F253" s="55"/>
      <c r="G253" s="56">
        <v>30</v>
      </c>
      <c r="H253" s="56">
        <v>4</v>
      </c>
      <c r="I253" s="54" t="s">
        <v>974</v>
      </c>
    </row>
    <row r="254" spans="1:9" x14ac:dyDescent="0.2">
      <c r="A254" s="57" t="s">
        <v>535</v>
      </c>
      <c r="B254" s="58" t="s">
        <v>536</v>
      </c>
      <c r="C254" s="58">
        <v>124021000</v>
      </c>
      <c r="D254" s="58"/>
      <c r="E254" s="58"/>
      <c r="F254" s="58"/>
      <c r="G254" s="59">
        <v>30</v>
      </c>
      <c r="H254" s="59">
        <v>4</v>
      </c>
      <c r="I254" s="57" t="s">
        <v>974</v>
      </c>
    </row>
    <row r="255" spans="1:9" x14ac:dyDescent="0.2">
      <c r="A255" s="54" t="s">
        <v>537</v>
      </c>
      <c r="B255" s="55" t="s">
        <v>538</v>
      </c>
      <c r="C255" s="55">
        <v>124813000</v>
      </c>
      <c r="D255" s="55"/>
      <c r="E255" s="55"/>
      <c r="F255" s="55"/>
      <c r="G255" s="56">
        <v>30</v>
      </c>
      <c r="H255" s="56">
        <v>4</v>
      </c>
      <c r="I255" s="54" t="s">
        <v>974</v>
      </c>
    </row>
    <row r="256" spans="1:9" x14ac:dyDescent="0.2">
      <c r="A256" s="57" t="s">
        <v>539</v>
      </c>
      <c r="B256" s="58" t="s">
        <v>540</v>
      </c>
      <c r="C256" s="58">
        <v>160536000</v>
      </c>
      <c r="D256" s="58"/>
      <c r="E256" s="58"/>
      <c r="F256" s="58"/>
      <c r="G256" s="59">
        <v>30</v>
      </c>
      <c r="H256" s="59">
        <v>4</v>
      </c>
      <c r="I256" s="57" t="s">
        <v>974</v>
      </c>
    </row>
    <row r="257" spans="1:9" x14ac:dyDescent="0.2">
      <c r="A257" s="54" t="s">
        <v>541</v>
      </c>
      <c r="B257" s="55" t="s">
        <v>542</v>
      </c>
      <c r="C257" s="55">
        <v>155379000</v>
      </c>
      <c r="D257" s="55"/>
      <c r="E257" s="55"/>
      <c r="F257" s="55"/>
      <c r="G257" s="56">
        <v>30</v>
      </c>
      <c r="H257" s="56">
        <v>4</v>
      </c>
      <c r="I257" s="54" t="s">
        <v>974</v>
      </c>
    </row>
    <row r="258" spans="1:9" x14ac:dyDescent="0.2">
      <c r="A258" s="57" t="s">
        <v>543</v>
      </c>
      <c r="B258" s="58" t="s">
        <v>544</v>
      </c>
      <c r="C258" s="58">
        <v>287361000</v>
      </c>
      <c r="D258" s="58"/>
      <c r="E258" s="58"/>
      <c r="F258" s="58"/>
      <c r="G258" s="59">
        <v>30</v>
      </c>
      <c r="H258" s="59">
        <v>4</v>
      </c>
      <c r="I258" s="57" t="s">
        <v>974</v>
      </c>
    </row>
    <row r="259" spans="1:9" x14ac:dyDescent="0.2">
      <c r="A259" s="54" t="s">
        <v>545</v>
      </c>
      <c r="B259" s="55" t="s">
        <v>546</v>
      </c>
      <c r="C259" s="55">
        <v>379501000</v>
      </c>
      <c r="D259" s="55"/>
      <c r="E259" s="55"/>
      <c r="F259" s="55"/>
      <c r="G259" s="56">
        <v>30</v>
      </c>
      <c r="H259" s="56">
        <v>4</v>
      </c>
      <c r="I259" s="54" t="s">
        <v>974</v>
      </c>
    </row>
    <row r="260" spans="1:9" x14ac:dyDescent="0.2">
      <c r="A260" s="57" t="s">
        <v>547</v>
      </c>
      <c r="B260" s="58" t="s">
        <v>548</v>
      </c>
      <c r="C260" s="58">
        <v>453562000</v>
      </c>
      <c r="D260" s="58"/>
      <c r="E260" s="58"/>
      <c r="F260" s="58"/>
      <c r="G260" s="59">
        <v>30</v>
      </c>
      <c r="H260" s="59">
        <v>4</v>
      </c>
      <c r="I260" s="57" t="s">
        <v>974</v>
      </c>
    </row>
    <row r="261" spans="1:9" x14ac:dyDescent="0.2">
      <c r="A261" s="54" t="s">
        <v>549</v>
      </c>
      <c r="B261" s="55" t="s">
        <v>550</v>
      </c>
      <c r="C261" s="55">
        <v>166178000</v>
      </c>
      <c r="D261" s="55"/>
      <c r="E261" s="55"/>
      <c r="F261" s="55"/>
      <c r="G261" s="56">
        <v>30</v>
      </c>
      <c r="H261" s="56">
        <v>4</v>
      </c>
      <c r="I261" s="54" t="s">
        <v>974</v>
      </c>
    </row>
    <row r="262" spans="1:9" x14ac:dyDescent="0.2">
      <c r="A262" s="57" t="s">
        <v>551</v>
      </c>
      <c r="B262" s="58" t="s">
        <v>552</v>
      </c>
      <c r="C262" s="58">
        <v>314234000</v>
      </c>
      <c r="D262" s="58"/>
      <c r="E262" s="58"/>
      <c r="F262" s="58"/>
      <c r="G262" s="59">
        <v>30</v>
      </c>
      <c r="H262" s="59">
        <v>4</v>
      </c>
      <c r="I262" s="57" t="s">
        <v>974</v>
      </c>
    </row>
    <row r="263" spans="1:9" x14ac:dyDescent="0.2">
      <c r="A263" s="54" t="s">
        <v>553</v>
      </c>
      <c r="B263" s="55" t="s">
        <v>554</v>
      </c>
      <c r="C263" s="55">
        <v>422505000</v>
      </c>
      <c r="D263" s="55"/>
      <c r="E263" s="55"/>
      <c r="F263" s="55"/>
      <c r="G263" s="56">
        <v>30</v>
      </c>
      <c r="H263" s="56">
        <v>4</v>
      </c>
      <c r="I263" s="54" t="s">
        <v>974</v>
      </c>
    </row>
    <row r="264" spans="1:9" x14ac:dyDescent="0.2">
      <c r="A264" s="57" t="s">
        <v>555</v>
      </c>
      <c r="B264" s="58" t="s">
        <v>556</v>
      </c>
      <c r="C264" s="58">
        <v>517893000</v>
      </c>
      <c r="D264" s="58"/>
      <c r="E264" s="58"/>
      <c r="F264" s="58"/>
      <c r="G264" s="59">
        <v>30</v>
      </c>
      <c r="H264" s="59">
        <v>4</v>
      </c>
      <c r="I264" s="57" t="s">
        <v>974</v>
      </c>
    </row>
    <row r="265" spans="1:9" x14ac:dyDescent="0.2">
      <c r="A265" s="54" t="s">
        <v>557</v>
      </c>
      <c r="B265" s="55" t="s">
        <v>558</v>
      </c>
      <c r="C265" s="55">
        <v>155477000</v>
      </c>
      <c r="D265" s="55"/>
      <c r="E265" s="55"/>
      <c r="F265" s="55"/>
      <c r="G265" s="56">
        <v>30</v>
      </c>
      <c r="H265" s="56">
        <v>4</v>
      </c>
      <c r="I265" s="54" t="s">
        <v>974</v>
      </c>
    </row>
    <row r="266" spans="1:9" x14ac:dyDescent="0.2">
      <c r="A266" s="57" t="s">
        <v>559</v>
      </c>
      <c r="B266" s="58" t="s">
        <v>560</v>
      </c>
      <c r="C266" s="58">
        <v>287459000</v>
      </c>
      <c r="D266" s="58"/>
      <c r="E266" s="58"/>
      <c r="F266" s="58"/>
      <c r="G266" s="59">
        <v>30</v>
      </c>
      <c r="H266" s="59">
        <v>4</v>
      </c>
      <c r="I266" s="57" t="s">
        <v>974</v>
      </c>
    </row>
    <row r="267" spans="1:9" x14ac:dyDescent="0.2">
      <c r="A267" s="54" t="s">
        <v>561</v>
      </c>
      <c r="B267" s="55" t="s">
        <v>562</v>
      </c>
      <c r="C267" s="55">
        <v>379456000</v>
      </c>
      <c r="D267" s="55"/>
      <c r="E267" s="55"/>
      <c r="F267" s="55"/>
      <c r="G267" s="56">
        <v>30</v>
      </c>
      <c r="H267" s="56">
        <v>4</v>
      </c>
      <c r="I267" s="54" t="s">
        <v>974</v>
      </c>
    </row>
    <row r="268" spans="1:9" x14ac:dyDescent="0.2">
      <c r="A268" s="57" t="s">
        <v>563</v>
      </c>
      <c r="B268" s="58" t="s">
        <v>564</v>
      </c>
      <c r="C268" s="58">
        <v>464169000</v>
      </c>
      <c r="D268" s="58"/>
      <c r="E268" s="58"/>
      <c r="F268" s="58"/>
      <c r="G268" s="59">
        <v>30</v>
      </c>
      <c r="H268" s="59">
        <v>4</v>
      </c>
      <c r="I268" s="57" t="s">
        <v>974</v>
      </c>
    </row>
    <row r="269" spans="1:9" x14ac:dyDescent="0.2">
      <c r="A269" s="54" t="s">
        <v>565</v>
      </c>
      <c r="B269" s="55" t="s">
        <v>566</v>
      </c>
      <c r="C269" s="55">
        <v>198189000</v>
      </c>
      <c r="D269" s="55"/>
      <c r="E269" s="55"/>
      <c r="F269" s="55"/>
      <c r="G269" s="56">
        <v>30</v>
      </c>
      <c r="H269" s="56">
        <v>4</v>
      </c>
      <c r="I269" s="54" t="s">
        <v>974</v>
      </c>
    </row>
    <row r="270" spans="1:9" x14ac:dyDescent="0.2">
      <c r="A270" s="57" t="s">
        <v>567</v>
      </c>
      <c r="B270" s="58" t="s">
        <v>568</v>
      </c>
      <c r="C270" s="58">
        <v>230400000</v>
      </c>
      <c r="D270" s="58"/>
      <c r="E270" s="58"/>
      <c r="F270" s="58"/>
      <c r="G270" s="59">
        <v>30</v>
      </c>
      <c r="H270" s="59">
        <v>4</v>
      </c>
      <c r="I270" s="57" t="s">
        <v>974</v>
      </c>
    </row>
    <row r="271" spans="1:9" x14ac:dyDescent="0.2">
      <c r="A271" s="54" t="s">
        <v>569</v>
      </c>
      <c r="B271" s="55" t="s">
        <v>570</v>
      </c>
      <c r="C271" s="55">
        <v>296534000</v>
      </c>
      <c r="D271" s="55"/>
      <c r="E271" s="55"/>
      <c r="F271" s="55"/>
      <c r="G271" s="56">
        <v>30</v>
      </c>
      <c r="H271" s="56">
        <v>4</v>
      </c>
      <c r="I271" s="54" t="s">
        <v>974</v>
      </c>
    </row>
    <row r="272" spans="1:9" x14ac:dyDescent="0.2">
      <c r="A272" s="57" t="s">
        <v>571</v>
      </c>
      <c r="B272" s="58" t="s">
        <v>572</v>
      </c>
      <c r="C272" s="58">
        <v>129189000</v>
      </c>
      <c r="D272" s="58"/>
      <c r="E272" s="58"/>
      <c r="F272" s="58"/>
      <c r="G272" s="59">
        <v>30</v>
      </c>
      <c r="H272" s="59">
        <v>4</v>
      </c>
      <c r="I272" s="57" t="s">
        <v>974</v>
      </c>
    </row>
    <row r="273" spans="1:9" x14ac:dyDescent="0.2">
      <c r="A273" s="54" t="s">
        <v>573</v>
      </c>
      <c r="B273" s="55" t="s">
        <v>574</v>
      </c>
      <c r="C273" s="55">
        <v>148235000</v>
      </c>
      <c r="D273" s="55"/>
      <c r="E273" s="55"/>
      <c r="F273" s="55"/>
      <c r="G273" s="56">
        <v>30</v>
      </c>
      <c r="H273" s="56">
        <v>4</v>
      </c>
      <c r="I273" s="54" t="s">
        <v>974</v>
      </c>
    </row>
    <row r="274" spans="1:9" x14ac:dyDescent="0.2">
      <c r="A274" s="57" t="s">
        <v>575</v>
      </c>
      <c r="B274" s="58" t="s">
        <v>576</v>
      </c>
      <c r="C274" s="58">
        <v>519313000</v>
      </c>
      <c r="D274" s="58"/>
      <c r="E274" s="58"/>
      <c r="F274" s="58"/>
      <c r="G274" s="59">
        <v>30</v>
      </c>
      <c r="H274" s="59">
        <v>4</v>
      </c>
      <c r="I274" s="57" t="s">
        <v>974</v>
      </c>
    </row>
    <row r="275" spans="1:9" x14ac:dyDescent="0.2">
      <c r="A275" s="54" t="s">
        <v>577</v>
      </c>
      <c r="B275" s="55" t="s">
        <v>578</v>
      </c>
      <c r="C275" s="55">
        <v>1067222000</v>
      </c>
      <c r="D275" s="55"/>
      <c r="E275" s="55"/>
      <c r="F275" s="55"/>
      <c r="G275" s="56">
        <v>30</v>
      </c>
      <c r="H275" s="56">
        <v>4</v>
      </c>
      <c r="I275" s="54" t="s">
        <v>974</v>
      </c>
    </row>
    <row r="276" spans="1:9" x14ac:dyDescent="0.2">
      <c r="A276" s="57" t="s">
        <v>579</v>
      </c>
      <c r="B276" s="58" t="s">
        <v>580</v>
      </c>
      <c r="C276" s="58">
        <v>1583739000</v>
      </c>
      <c r="D276" s="58"/>
      <c r="E276" s="58"/>
      <c r="F276" s="58"/>
      <c r="G276" s="59">
        <v>30</v>
      </c>
      <c r="H276" s="59">
        <v>4</v>
      </c>
      <c r="I276" s="57" t="s">
        <v>974</v>
      </c>
    </row>
    <row r="277" spans="1:9" x14ac:dyDescent="0.2">
      <c r="A277" s="54" t="s">
        <v>581</v>
      </c>
      <c r="B277" s="55" t="s">
        <v>582</v>
      </c>
      <c r="C277" s="55">
        <v>1959991000</v>
      </c>
      <c r="D277" s="55"/>
      <c r="E277" s="55"/>
      <c r="F277" s="55"/>
      <c r="G277" s="56">
        <v>30</v>
      </c>
      <c r="H277" s="56">
        <v>4</v>
      </c>
      <c r="I277" s="54" t="s">
        <v>974</v>
      </c>
    </row>
    <row r="278" spans="1:9" x14ac:dyDescent="0.2">
      <c r="A278" s="57" t="s">
        <v>583</v>
      </c>
      <c r="B278" s="58" t="s">
        <v>584</v>
      </c>
      <c r="C278" s="58">
        <v>112285000</v>
      </c>
      <c r="D278" s="58"/>
      <c r="E278" s="58"/>
      <c r="F278" s="58"/>
      <c r="G278" s="59">
        <v>10</v>
      </c>
      <c r="H278" s="59">
        <v>4</v>
      </c>
      <c r="I278" s="57" t="s">
        <v>974</v>
      </c>
    </row>
    <row r="279" spans="1:9" x14ac:dyDescent="0.2">
      <c r="A279" s="54" t="s">
        <v>585</v>
      </c>
      <c r="B279" s="55" t="s">
        <v>586</v>
      </c>
      <c r="C279" s="55">
        <v>2266512000</v>
      </c>
      <c r="D279" s="55"/>
      <c r="E279" s="55"/>
      <c r="F279" s="55"/>
      <c r="G279" s="56">
        <v>30</v>
      </c>
      <c r="H279" s="56">
        <v>4</v>
      </c>
      <c r="I279" s="54" t="s">
        <v>974</v>
      </c>
    </row>
    <row r="280" spans="1:9" x14ac:dyDescent="0.2">
      <c r="A280" s="57" t="s">
        <v>587</v>
      </c>
      <c r="B280" s="58" t="s">
        <v>588</v>
      </c>
      <c r="C280" s="58">
        <v>92754000</v>
      </c>
      <c r="D280" s="58"/>
      <c r="E280" s="58"/>
      <c r="F280" s="58"/>
      <c r="G280" s="59">
        <v>30</v>
      </c>
      <c r="H280" s="59">
        <v>4</v>
      </c>
      <c r="I280" s="57" t="s">
        <v>974</v>
      </c>
    </row>
    <row r="281" spans="1:9" x14ac:dyDescent="0.2">
      <c r="A281" s="54" t="s">
        <v>589</v>
      </c>
      <c r="B281" s="55" t="s">
        <v>590</v>
      </c>
      <c r="C281" s="55">
        <v>2000000</v>
      </c>
      <c r="D281" s="55"/>
      <c r="E281" s="55"/>
      <c r="F281" s="55"/>
      <c r="G281" s="56">
        <v>30</v>
      </c>
      <c r="H281" s="56">
        <v>4</v>
      </c>
      <c r="I281" s="54" t="s">
        <v>974</v>
      </c>
    </row>
    <row r="282" spans="1:9" x14ac:dyDescent="0.2">
      <c r="A282" s="57" t="s">
        <v>591</v>
      </c>
      <c r="B282" s="58" t="s">
        <v>592</v>
      </c>
      <c r="C282" s="58">
        <v>2942854000</v>
      </c>
      <c r="D282" s="58"/>
      <c r="E282" s="58"/>
      <c r="F282" s="58"/>
      <c r="G282" s="59">
        <v>30</v>
      </c>
      <c r="H282" s="59"/>
      <c r="I282" s="57" t="s">
        <v>975</v>
      </c>
    </row>
    <row r="283" spans="1:9" x14ac:dyDescent="0.2">
      <c r="A283" s="54" t="s">
        <v>593</v>
      </c>
      <c r="B283" s="55" t="s">
        <v>594</v>
      </c>
      <c r="C283" s="55">
        <v>1120491000</v>
      </c>
      <c r="D283" s="55"/>
      <c r="E283" s="55"/>
      <c r="F283" s="55"/>
      <c r="G283" s="56">
        <v>30</v>
      </c>
      <c r="H283" s="56"/>
      <c r="I283" s="54" t="s">
        <v>975</v>
      </c>
    </row>
    <row r="284" spans="1:9" x14ac:dyDescent="0.2">
      <c r="A284" s="57" t="s">
        <v>595</v>
      </c>
      <c r="B284" s="58" t="s">
        <v>596</v>
      </c>
      <c r="C284" s="58">
        <v>1231406000</v>
      </c>
      <c r="D284" s="58"/>
      <c r="E284" s="58"/>
      <c r="F284" s="58"/>
      <c r="G284" s="59">
        <v>30</v>
      </c>
      <c r="H284" s="59"/>
      <c r="I284" s="57" t="s">
        <v>975</v>
      </c>
    </row>
    <row r="285" spans="1:9" x14ac:dyDescent="0.2">
      <c r="A285" s="54" t="s">
        <v>597</v>
      </c>
      <c r="B285" s="55" t="s">
        <v>598</v>
      </c>
      <c r="C285" s="55">
        <v>1246422000</v>
      </c>
      <c r="D285" s="55"/>
      <c r="E285" s="55"/>
      <c r="F285" s="55"/>
      <c r="G285" s="56">
        <v>30</v>
      </c>
      <c r="H285" s="56"/>
      <c r="I285" s="54" t="s">
        <v>975</v>
      </c>
    </row>
    <row r="286" spans="1:9" x14ac:dyDescent="0.2">
      <c r="A286" s="57" t="s">
        <v>599</v>
      </c>
      <c r="B286" s="58" t="s">
        <v>600</v>
      </c>
      <c r="C286" s="58">
        <v>1381486000</v>
      </c>
      <c r="D286" s="58"/>
      <c r="E286" s="58"/>
      <c r="F286" s="58"/>
      <c r="G286" s="59">
        <v>30</v>
      </c>
      <c r="H286" s="59"/>
      <c r="I286" s="57" t="s">
        <v>975</v>
      </c>
    </row>
    <row r="287" spans="1:9" x14ac:dyDescent="0.2">
      <c r="A287" s="54" t="s">
        <v>601</v>
      </c>
      <c r="B287" s="55" t="s">
        <v>602</v>
      </c>
      <c r="C287" s="55">
        <v>1420507000</v>
      </c>
      <c r="D287" s="55"/>
      <c r="E287" s="55"/>
      <c r="F287" s="55"/>
      <c r="G287" s="56">
        <v>30</v>
      </c>
      <c r="H287" s="56"/>
      <c r="I287" s="54" t="s">
        <v>975</v>
      </c>
    </row>
    <row r="288" spans="1:9" x14ac:dyDescent="0.2">
      <c r="A288" s="57" t="s">
        <v>603</v>
      </c>
      <c r="B288" s="58" t="s">
        <v>604</v>
      </c>
      <c r="C288" s="58">
        <v>76393000</v>
      </c>
      <c r="D288" s="58"/>
      <c r="E288" s="58"/>
      <c r="F288" s="58"/>
      <c r="G288" s="59">
        <v>30</v>
      </c>
      <c r="H288" s="59"/>
      <c r="I288" s="57" t="s">
        <v>975</v>
      </c>
    </row>
    <row r="289" spans="1:9" x14ac:dyDescent="0.2">
      <c r="A289" s="54" t="s">
        <v>605</v>
      </c>
      <c r="B289" s="55" t="s">
        <v>606</v>
      </c>
      <c r="C289" s="55">
        <v>157346000</v>
      </c>
      <c r="D289" s="55"/>
      <c r="E289" s="55"/>
      <c r="F289" s="55"/>
      <c r="G289" s="56">
        <v>30</v>
      </c>
      <c r="H289" s="56"/>
      <c r="I289" s="54" t="s">
        <v>975</v>
      </c>
    </row>
    <row r="290" spans="1:9" x14ac:dyDescent="0.2">
      <c r="A290" s="57" t="s">
        <v>607</v>
      </c>
      <c r="B290" s="58" t="s">
        <v>608</v>
      </c>
      <c r="C290" s="58">
        <v>2158697000</v>
      </c>
      <c r="D290" s="58"/>
      <c r="E290" s="58"/>
      <c r="F290" s="58"/>
      <c r="G290" s="59">
        <v>30</v>
      </c>
      <c r="H290" s="59"/>
      <c r="I290" s="57" t="s">
        <v>975</v>
      </c>
    </row>
    <row r="291" spans="1:9" x14ac:dyDescent="0.2">
      <c r="A291" s="54" t="s">
        <v>609</v>
      </c>
      <c r="B291" s="55" t="s">
        <v>610</v>
      </c>
      <c r="C291" s="55">
        <v>152035000</v>
      </c>
      <c r="D291" s="55"/>
      <c r="E291" s="55"/>
      <c r="F291" s="55"/>
      <c r="G291" s="56">
        <v>30</v>
      </c>
      <c r="H291" s="56"/>
      <c r="I291" s="54" t="s">
        <v>975</v>
      </c>
    </row>
    <row r="292" spans="1:9" x14ac:dyDescent="0.2">
      <c r="A292" s="57" t="s">
        <v>611</v>
      </c>
      <c r="B292" s="58" t="s">
        <v>612</v>
      </c>
      <c r="C292" s="58">
        <v>10230886000</v>
      </c>
      <c r="D292" s="58"/>
      <c r="E292" s="58"/>
      <c r="F292" s="58"/>
      <c r="G292" s="59">
        <v>10</v>
      </c>
      <c r="H292" s="59"/>
      <c r="I292" s="57" t="s">
        <v>976</v>
      </c>
    </row>
    <row r="293" spans="1:9" x14ac:dyDescent="0.2">
      <c r="A293" s="54" t="s">
        <v>613</v>
      </c>
      <c r="B293" s="55" t="s">
        <v>614</v>
      </c>
      <c r="C293" s="55">
        <v>3111908000</v>
      </c>
      <c r="D293" s="55"/>
      <c r="E293" s="55"/>
      <c r="F293" s="55"/>
      <c r="G293" s="56">
        <v>10</v>
      </c>
      <c r="H293" s="56"/>
      <c r="I293" s="54" t="s">
        <v>976</v>
      </c>
    </row>
    <row r="294" spans="1:9" x14ac:dyDescent="0.2">
      <c r="A294" s="57" t="s">
        <v>615</v>
      </c>
      <c r="B294" s="58" t="s">
        <v>616</v>
      </c>
      <c r="C294" s="58">
        <v>1346228000</v>
      </c>
      <c r="D294" s="58"/>
      <c r="E294" s="58"/>
      <c r="F294" s="58"/>
      <c r="G294" s="59">
        <v>10</v>
      </c>
      <c r="H294" s="59"/>
      <c r="I294" s="57" t="s">
        <v>976</v>
      </c>
    </row>
    <row r="295" spans="1:9" x14ac:dyDescent="0.2">
      <c r="A295" s="54" t="s">
        <v>617</v>
      </c>
      <c r="B295" s="55" t="s">
        <v>618</v>
      </c>
      <c r="C295" s="55">
        <v>1874446000</v>
      </c>
      <c r="D295" s="55"/>
      <c r="E295" s="55"/>
      <c r="F295" s="55"/>
      <c r="G295" s="56">
        <v>10</v>
      </c>
      <c r="H295" s="56"/>
      <c r="I295" s="54" t="s">
        <v>976</v>
      </c>
    </row>
    <row r="296" spans="1:9" x14ac:dyDescent="0.2">
      <c r="A296" s="57" t="s">
        <v>619</v>
      </c>
      <c r="B296" s="58" t="s">
        <v>620</v>
      </c>
      <c r="C296" s="58">
        <v>169820000</v>
      </c>
      <c r="D296" s="58"/>
      <c r="E296" s="58"/>
      <c r="F296" s="58"/>
      <c r="G296" s="59">
        <v>10</v>
      </c>
      <c r="H296" s="59"/>
      <c r="I296" s="57" t="s">
        <v>976</v>
      </c>
    </row>
    <row r="297" spans="1:9" x14ac:dyDescent="0.2">
      <c r="A297" s="54" t="s">
        <v>621</v>
      </c>
      <c r="B297" s="55" t="s">
        <v>622</v>
      </c>
      <c r="C297" s="55">
        <v>1357097000</v>
      </c>
      <c r="D297" s="55"/>
      <c r="E297" s="55"/>
      <c r="F297" s="55"/>
      <c r="G297" s="56">
        <v>10</v>
      </c>
      <c r="H297" s="56"/>
      <c r="I297" s="54" t="s">
        <v>976</v>
      </c>
    </row>
    <row r="298" spans="1:9" x14ac:dyDescent="0.2">
      <c r="A298" s="57" t="s">
        <v>623</v>
      </c>
      <c r="B298" s="58" t="s">
        <v>624</v>
      </c>
      <c r="C298" s="58">
        <v>1044178000</v>
      </c>
      <c r="D298" s="58"/>
      <c r="E298" s="58"/>
      <c r="F298" s="58"/>
      <c r="G298" s="59">
        <v>10</v>
      </c>
      <c r="H298" s="59"/>
      <c r="I298" s="57" t="s">
        <v>976</v>
      </c>
    </row>
    <row r="299" spans="1:9" x14ac:dyDescent="0.2">
      <c r="A299" s="54" t="s">
        <v>625</v>
      </c>
      <c r="B299" s="55" t="s">
        <v>626</v>
      </c>
      <c r="C299" s="55">
        <v>1030524000</v>
      </c>
      <c r="D299" s="55"/>
      <c r="E299" s="55"/>
      <c r="F299" s="55"/>
      <c r="G299" s="56">
        <v>30</v>
      </c>
      <c r="H299" s="56"/>
      <c r="I299" s="54" t="s">
        <v>976</v>
      </c>
    </row>
    <row r="300" spans="1:9" x14ac:dyDescent="0.2">
      <c r="A300" s="57" t="s">
        <v>627</v>
      </c>
      <c r="B300" s="58" t="s">
        <v>628</v>
      </c>
      <c r="C300" s="58">
        <v>5341312000</v>
      </c>
      <c r="D300" s="58"/>
      <c r="E300" s="58"/>
      <c r="F300" s="58"/>
      <c r="G300" s="59">
        <v>10</v>
      </c>
      <c r="H300" s="59"/>
      <c r="I300" s="57" t="s">
        <v>976</v>
      </c>
    </row>
    <row r="301" spans="1:9" x14ac:dyDescent="0.2">
      <c r="A301" s="54" t="s">
        <v>629</v>
      </c>
      <c r="B301" s="55" t="s">
        <v>630</v>
      </c>
      <c r="C301" s="55">
        <v>1624656000</v>
      </c>
      <c r="D301" s="55"/>
      <c r="E301" s="55"/>
      <c r="F301" s="55"/>
      <c r="G301" s="56">
        <v>10</v>
      </c>
      <c r="H301" s="56"/>
      <c r="I301" s="54" t="s">
        <v>976</v>
      </c>
    </row>
    <row r="302" spans="1:9" x14ac:dyDescent="0.2">
      <c r="A302" s="57" t="s">
        <v>631</v>
      </c>
      <c r="B302" s="58" t="s">
        <v>632</v>
      </c>
      <c r="C302" s="58">
        <v>704306000</v>
      </c>
      <c r="D302" s="58"/>
      <c r="E302" s="58"/>
      <c r="F302" s="58"/>
      <c r="G302" s="59">
        <v>10</v>
      </c>
      <c r="H302" s="59"/>
      <c r="I302" s="57" t="s">
        <v>976</v>
      </c>
    </row>
    <row r="303" spans="1:9" x14ac:dyDescent="0.2">
      <c r="A303" s="54" t="s">
        <v>633</v>
      </c>
      <c r="B303" s="55" t="s">
        <v>634</v>
      </c>
      <c r="C303" s="55">
        <v>1073394000</v>
      </c>
      <c r="D303" s="55"/>
      <c r="E303" s="55"/>
      <c r="F303" s="55"/>
      <c r="G303" s="56">
        <v>10</v>
      </c>
      <c r="H303" s="56"/>
      <c r="I303" s="54" t="s">
        <v>976</v>
      </c>
    </row>
    <row r="304" spans="1:9" x14ac:dyDescent="0.2">
      <c r="A304" s="57" t="s">
        <v>635</v>
      </c>
      <c r="B304" s="58" t="s">
        <v>636</v>
      </c>
      <c r="C304" s="58">
        <v>88659000</v>
      </c>
      <c r="D304" s="58"/>
      <c r="E304" s="58"/>
      <c r="F304" s="58"/>
      <c r="G304" s="59">
        <v>10</v>
      </c>
      <c r="H304" s="59"/>
      <c r="I304" s="57" t="s">
        <v>976</v>
      </c>
    </row>
    <row r="305" spans="1:9" x14ac:dyDescent="0.2">
      <c r="A305" s="54" t="s">
        <v>637</v>
      </c>
      <c r="B305" s="55" t="s">
        <v>638</v>
      </c>
      <c r="C305" s="55">
        <v>704772000</v>
      </c>
      <c r="D305" s="55"/>
      <c r="E305" s="55"/>
      <c r="F305" s="55"/>
      <c r="G305" s="56">
        <v>10</v>
      </c>
      <c r="H305" s="56"/>
      <c r="I305" s="54" t="s">
        <v>976</v>
      </c>
    </row>
    <row r="306" spans="1:9" x14ac:dyDescent="0.2">
      <c r="A306" s="57" t="s">
        <v>639</v>
      </c>
      <c r="B306" s="58" t="s">
        <v>640</v>
      </c>
      <c r="C306" s="58">
        <v>846723000</v>
      </c>
      <c r="D306" s="58"/>
      <c r="E306" s="58"/>
      <c r="F306" s="58"/>
      <c r="G306" s="59">
        <v>10</v>
      </c>
      <c r="H306" s="59"/>
      <c r="I306" s="57" t="s">
        <v>976</v>
      </c>
    </row>
    <row r="307" spans="1:9" x14ac:dyDescent="0.2">
      <c r="A307" s="54" t="s">
        <v>641</v>
      </c>
      <c r="B307" s="55" t="s">
        <v>642</v>
      </c>
      <c r="C307" s="55">
        <v>1059999000</v>
      </c>
      <c r="D307" s="55"/>
      <c r="E307" s="55"/>
      <c r="F307" s="55"/>
      <c r="G307" s="56">
        <v>30</v>
      </c>
      <c r="H307" s="56"/>
      <c r="I307" s="54" t="s">
        <v>976</v>
      </c>
    </row>
    <row r="308" spans="1:9" x14ac:dyDescent="0.2">
      <c r="A308" s="57" t="s">
        <v>643</v>
      </c>
      <c r="B308" s="58" t="s">
        <v>644</v>
      </c>
      <c r="C308" s="58">
        <v>865217000</v>
      </c>
      <c r="D308" s="58"/>
      <c r="E308" s="58"/>
      <c r="F308" s="58"/>
      <c r="G308" s="59">
        <v>10</v>
      </c>
      <c r="H308" s="59"/>
      <c r="I308" s="57" t="s">
        <v>976</v>
      </c>
    </row>
    <row r="309" spans="1:9" x14ac:dyDescent="0.2">
      <c r="A309" s="54" t="s">
        <v>645</v>
      </c>
      <c r="B309" s="55" t="s">
        <v>646</v>
      </c>
      <c r="C309" s="55">
        <v>559995000</v>
      </c>
      <c r="D309" s="55"/>
      <c r="E309" s="55"/>
      <c r="F309" s="55"/>
      <c r="G309" s="56">
        <v>10</v>
      </c>
      <c r="H309" s="56"/>
      <c r="I309" s="54" t="s">
        <v>976</v>
      </c>
    </row>
    <row r="310" spans="1:9" x14ac:dyDescent="0.2">
      <c r="A310" s="57" t="s">
        <v>647</v>
      </c>
      <c r="B310" s="58" t="s">
        <v>648</v>
      </c>
      <c r="C310" s="58">
        <v>242257000</v>
      </c>
      <c r="D310" s="58"/>
      <c r="E310" s="58"/>
      <c r="F310" s="58"/>
      <c r="G310" s="59">
        <v>10</v>
      </c>
      <c r="H310" s="59"/>
      <c r="I310" s="57" t="s">
        <v>976</v>
      </c>
    </row>
    <row r="311" spans="1:9" x14ac:dyDescent="0.2">
      <c r="A311" s="54" t="s">
        <v>649</v>
      </c>
      <c r="B311" s="55" t="s">
        <v>650</v>
      </c>
      <c r="C311" s="55">
        <v>256793000</v>
      </c>
      <c r="D311" s="55"/>
      <c r="E311" s="55"/>
      <c r="F311" s="55"/>
      <c r="G311" s="56">
        <v>10</v>
      </c>
      <c r="H311" s="56"/>
      <c r="I311" s="54" t="s">
        <v>976</v>
      </c>
    </row>
    <row r="312" spans="1:9" x14ac:dyDescent="0.2">
      <c r="A312" s="57" t="s">
        <v>651</v>
      </c>
      <c r="B312" s="58" t="s">
        <v>652</v>
      </c>
      <c r="C312" s="58">
        <v>30560000</v>
      </c>
      <c r="D312" s="58"/>
      <c r="E312" s="58"/>
      <c r="F312" s="58"/>
      <c r="G312" s="59">
        <v>10</v>
      </c>
      <c r="H312" s="59"/>
      <c r="I312" s="57" t="s">
        <v>976</v>
      </c>
    </row>
    <row r="313" spans="1:9" x14ac:dyDescent="0.2">
      <c r="A313" s="54" t="s">
        <v>653</v>
      </c>
      <c r="B313" s="55" t="s">
        <v>654</v>
      </c>
      <c r="C313" s="55">
        <v>242924000</v>
      </c>
      <c r="D313" s="55"/>
      <c r="E313" s="55"/>
      <c r="F313" s="55"/>
      <c r="G313" s="56">
        <v>10</v>
      </c>
      <c r="H313" s="56"/>
      <c r="I313" s="54" t="s">
        <v>976</v>
      </c>
    </row>
    <row r="314" spans="1:9" x14ac:dyDescent="0.2">
      <c r="A314" s="57" t="s">
        <v>655</v>
      </c>
      <c r="B314" s="58" t="s">
        <v>656</v>
      </c>
      <c r="C314" s="58">
        <v>291853000</v>
      </c>
      <c r="D314" s="58"/>
      <c r="E314" s="58"/>
      <c r="F314" s="58"/>
      <c r="G314" s="59">
        <v>10</v>
      </c>
      <c r="H314" s="59"/>
      <c r="I314" s="57" t="s">
        <v>976</v>
      </c>
    </row>
    <row r="315" spans="1:9" x14ac:dyDescent="0.2">
      <c r="A315" s="54" t="s">
        <v>657</v>
      </c>
      <c r="B315" s="55" t="s">
        <v>658</v>
      </c>
      <c r="C315" s="55">
        <v>785177000</v>
      </c>
      <c r="D315" s="55"/>
      <c r="E315" s="55"/>
      <c r="F315" s="55"/>
      <c r="G315" s="56">
        <v>30</v>
      </c>
      <c r="H315" s="56"/>
      <c r="I315" s="54" t="s">
        <v>976</v>
      </c>
    </row>
    <row r="316" spans="1:9" x14ac:dyDescent="0.2">
      <c r="A316" s="57" t="s">
        <v>659</v>
      </c>
      <c r="B316" s="58" t="s">
        <v>660</v>
      </c>
      <c r="C316" s="58">
        <v>477554000</v>
      </c>
      <c r="D316" s="58"/>
      <c r="E316" s="58"/>
      <c r="F316" s="58"/>
      <c r="G316" s="59">
        <v>10</v>
      </c>
      <c r="H316" s="59"/>
      <c r="I316" s="57" t="s">
        <v>976</v>
      </c>
    </row>
    <row r="317" spans="1:9" x14ac:dyDescent="0.2">
      <c r="A317" s="54" t="s">
        <v>661</v>
      </c>
      <c r="B317" s="55" t="s">
        <v>662</v>
      </c>
      <c r="C317" s="55">
        <v>145257000</v>
      </c>
      <c r="D317" s="55"/>
      <c r="E317" s="55"/>
      <c r="F317" s="55"/>
      <c r="G317" s="56">
        <v>10</v>
      </c>
      <c r="H317" s="56"/>
      <c r="I317" s="54" t="s">
        <v>976</v>
      </c>
    </row>
    <row r="318" spans="1:9" x14ac:dyDescent="0.2">
      <c r="A318" s="57" t="s">
        <v>663</v>
      </c>
      <c r="B318" s="58" t="s">
        <v>664</v>
      </c>
      <c r="C318" s="58">
        <v>62839000</v>
      </c>
      <c r="D318" s="58"/>
      <c r="E318" s="58"/>
      <c r="F318" s="58"/>
      <c r="G318" s="59">
        <v>10</v>
      </c>
      <c r="H318" s="59"/>
      <c r="I318" s="57" t="s">
        <v>976</v>
      </c>
    </row>
    <row r="319" spans="1:9" x14ac:dyDescent="0.2">
      <c r="A319" s="54" t="s">
        <v>665</v>
      </c>
      <c r="B319" s="55" t="s">
        <v>666</v>
      </c>
      <c r="C319" s="55">
        <v>50672000</v>
      </c>
      <c r="D319" s="55"/>
      <c r="E319" s="55"/>
      <c r="F319" s="55"/>
      <c r="G319" s="56">
        <v>10</v>
      </c>
      <c r="H319" s="56"/>
      <c r="I319" s="54" t="s">
        <v>976</v>
      </c>
    </row>
    <row r="320" spans="1:9" x14ac:dyDescent="0.2">
      <c r="A320" s="57" t="s">
        <v>667</v>
      </c>
      <c r="B320" s="58" t="s">
        <v>668</v>
      </c>
      <c r="C320" s="58">
        <v>7927000</v>
      </c>
      <c r="D320" s="58"/>
      <c r="E320" s="58"/>
      <c r="F320" s="58"/>
      <c r="G320" s="59">
        <v>10</v>
      </c>
      <c r="H320" s="59"/>
      <c r="I320" s="57" t="s">
        <v>976</v>
      </c>
    </row>
    <row r="321" spans="1:9" x14ac:dyDescent="0.2">
      <c r="A321" s="54" t="s">
        <v>669</v>
      </c>
      <c r="B321" s="55" t="s">
        <v>670</v>
      </c>
      <c r="C321" s="55">
        <v>63012000</v>
      </c>
      <c r="D321" s="55"/>
      <c r="E321" s="55"/>
      <c r="F321" s="55"/>
      <c r="G321" s="56">
        <v>10</v>
      </c>
      <c r="H321" s="56"/>
      <c r="I321" s="54" t="s">
        <v>976</v>
      </c>
    </row>
    <row r="322" spans="1:9" x14ac:dyDescent="0.2">
      <c r="A322" s="57" t="s">
        <v>671</v>
      </c>
      <c r="B322" s="58" t="s">
        <v>672</v>
      </c>
      <c r="C322" s="58">
        <v>75704000</v>
      </c>
      <c r="D322" s="58"/>
      <c r="E322" s="58"/>
      <c r="F322" s="58"/>
      <c r="G322" s="59">
        <v>10</v>
      </c>
      <c r="H322" s="59"/>
      <c r="I322" s="57" t="s">
        <v>976</v>
      </c>
    </row>
    <row r="323" spans="1:9" x14ac:dyDescent="0.2">
      <c r="A323" s="54" t="s">
        <v>673</v>
      </c>
      <c r="B323" s="55" t="s">
        <v>674</v>
      </c>
      <c r="C323" s="55">
        <v>666607000</v>
      </c>
      <c r="D323" s="55"/>
      <c r="E323" s="55"/>
      <c r="F323" s="55"/>
      <c r="G323" s="56">
        <v>30</v>
      </c>
      <c r="H323" s="56"/>
      <c r="I323" s="54" t="s">
        <v>976</v>
      </c>
    </row>
    <row r="324" spans="1:9" x14ac:dyDescent="0.2">
      <c r="A324" s="57" t="s">
        <v>675</v>
      </c>
      <c r="B324" s="58" t="s">
        <v>676</v>
      </c>
      <c r="C324" s="58">
        <v>74373000</v>
      </c>
      <c r="D324" s="58"/>
      <c r="E324" s="58"/>
      <c r="F324" s="58"/>
      <c r="G324" s="59">
        <v>10</v>
      </c>
      <c r="H324" s="59">
        <v>4</v>
      </c>
      <c r="I324" s="57" t="s">
        <v>977</v>
      </c>
    </row>
    <row r="325" spans="1:9" x14ac:dyDescent="0.2">
      <c r="A325" s="54" t="s">
        <v>677</v>
      </c>
      <c r="B325" s="55" t="s">
        <v>678</v>
      </c>
      <c r="C325" s="55">
        <v>33967000</v>
      </c>
      <c r="D325" s="55"/>
      <c r="E325" s="55"/>
      <c r="F325" s="55"/>
      <c r="G325" s="56">
        <v>40</v>
      </c>
      <c r="H325" s="56">
        <v>4</v>
      </c>
      <c r="I325" s="54" t="s">
        <v>977</v>
      </c>
    </row>
    <row r="326" spans="1:9" x14ac:dyDescent="0.2">
      <c r="A326" s="57" t="s">
        <v>679</v>
      </c>
      <c r="B326" s="58" t="s">
        <v>680</v>
      </c>
      <c r="C326" s="58">
        <v>9776000</v>
      </c>
      <c r="D326" s="58"/>
      <c r="E326" s="58"/>
      <c r="F326" s="58"/>
      <c r="G326" s="59">
        <v>40</v>
      </c>
      <c r="H326" s="59">
        <v>4</v>
      </c>
      <c r="I326" s="57" t="s">
        <v>977</v>
      </c>
    </row>
    <row r="327" spans="1:9" x14ac:dyDescent="0.2">
      <c r="A327" s="54" t="s">
        <v>681</v>
      </c>
      <c r="B327" s="55" t="s">
        <v>682</v>
      </c>
      <c r="C327" s="55">
        <v>14907000</v>
      </c>
      <c r="D327" s="55"/>
      <c r="E327" s="55"/>
      <c r="F327" s="55"/>
      <c r="G327" s="56">
        <v>10</v>
      </c>
      <c r="H327" s="56">
        <v>4</v>
      </c>
      <c r="I327" s="54" t="s">
        <v>977</v>
      </c>
    </row>
    <row r="328" spans="1:9" x14ac:dyDescent="0.2">
      <c r="A328" s="57" t="s">
        <v>683</v>
      </c>
      <c r="B328" s="58" t="s">
        <v>684</v>
      </c>
      <c r="C328" s="58">
        <v>11776000</v>
      </c>
      <c r="D328" s="58"/>
      <c r="E328" s="58"/>
      <c r="F328" s="58"/>
      <c r="G328" s="59">
        <v>10</v>
      </c>
      <c r="H328" s="59">
        <v>4</v>
      </c>
      <c r="I328" s="57" t="s">
        <v>977</v>
      </c>
    </row>
    <row r="329" spans="1:9" x14ac:dyDescent="0.2">
      <c r="A329" s="54" t="s">
        <v>685</v>
      </c>
      <c r="B329" s="55" t="s">
        <v>686</v>
      </c>
      <c r="C329" s="55">
        <v>61043000</v>
      </c>
      <c r="D329" s="55"/>
      <c r="E329" s="55"/>
      <c r="F329" s="55"/>
      <c r="G329" s="56">
        <v>10</v>
      </c>
      <c r="H329" s="56">
        <v>4</v>
      </c>
      <c r="I329" s="54" t="s">
        <v>977</v>
      </c>
    </row>
    <row r="330" spans="1:9" x14ac:dyDescent="0.2">
      <c r="A330" s="57" t="s">
        <v>687</v>
      </c>
      <c r="B330" s="58" t="s">
        <v>688</v>
      </c>
      <c r="C330" s="58">
        <v>14080000</v>
      </c>
      <c r="D330" s="58"/>
      <c r="E330" s="58"/>
      <c r="F330" s="58"/>
      <c r="G330" s="59">
        <v>10</v>
      </c>
      <c r="H330" s="59">
        <v>4</v>
      </c>
      <c r="I330" s="57" t="s">
        <v>977</v>
      </c>
    </row>
    <row r="331" spans="1:9" x14ac:dyDescent="0.2">
      <c r="A331" s="54" t="s">
        <v>689</v>
      </c>
      <c r="B331" s="55" t="s">
        <v>690</v>
      </c>
      <c r="C331" s="55">
        <v>28446000</v>
      </c>
      <c r="D331" s="55"/>
      <c r="E331" s="55"/>
      <c r="F331" s="55"/>
      <c r="G331" s="56">
        <v>10</v>
      </c>
      <c r="H331" s="56">
        <v>4</v>
      </c>
      <c r="I331" s="54" t="s">
        <v>977</v>
      </c>
    </row>
    <row r="332" spans="1:9" x14ac:dyDescent="0.2">
      <c r="A332" s="57" t="s">
        <v>691</v>
      </c>
      <c r="B332" s="58" t="s">
        <v>692</v>
      </c>
      <c r="C332" s="58">
        <v>18665000</v>
      </c>
      <c r="D332" s="58"/>
      <c r="E332" s="58"/>
      <c r="F332" s="58"/>
      <c r="G332" s="59">
        <v>10</v>
      </c>
      <c r="H332" s="59">
        <v>4</v>
      </c>
      <c r="I332" s="57" t="s">
        <v>977</v>
      </c>
    </row>
    <row r="333" spans="1:9" x14ac:dyDescent="0.2">
      <c r="A333" s="54" t="s">
        <v>693</v>
      </c>
      <c r="B333" s="55" t="s">
        <v>694</v>
      </c>
      <c r="C333" s="55">
        <v>92069000</v>
      </c>
      <c r="D333" s="55"/>
      <c r="E333" s="55"/>
      <c r="F333" s="55"/>
      <c r="G333" s="56">
        <v>10</v>
      </c>
      <c r="H333" s="56">
        <v>4</v>
      </c>
      <c r="I333" s="54" t="s">
        <v>977</v>
      </c>
    </row>
    <row r="334" spans="1:9" x14ac:dyDescent="0.2">
      <c r="A334" s="57" t="s">
        <v>695</v>
      </c>
      <c r="B334" s="58" t="s">
        <v>696</v>
      </c>
      <c r="C334" s="58">
        <v>149672000</v>
      </c>
      <c r="D334" s="58"/>
      <c r="E334" s="58"/>
      <c r="F334" s="58"/>
      <c r="G334" s="59">
        <v>10</v>
      </c>
      <c r="H334" s="59">
        <v>4</v>
      </c>
      <c r="I334" s="57" t="s">
        <v>977</v>
      </c>
    </row>
    <row r="335" spans="1:9" x14ac:dyDescent="0.2">
      <c r="A335" s="54" t="s">
        <v>697</v>
      </c>
      <c r="B335" s="55" t="s">
        <v>698</v>
      </c>
      <c r="C335" s="55">
        <v>13848000</v>
      </c>
      <c r="D335" s="55"/>
      <c r="E335" s="55"/>
      <c r="F335" s="55"/>
      <c r="G335" s="56">
        <v>10</v>
      </c>
      <c r="H335" s="56">
        <v>4</v>
      </c>
      <c r="I335" s="54" t="s">
        <v>977</v>
      </c>
    </row>
    <row r="336" spans="1:9" x14ac:dyDescent="0.2">
      <c r="A336" s="57" t="s">
        <v>699</v>
      </c>
      <c r="B336" s="58" t="s">
        <v>700</v>
      </c>
      <c r="C336" s="58">
        <v>568000</v>
      </c>
      <c r="D336" s="58"/>
      <c r="E336" s="58"/>
      <c r="F336" s="58"/>
      <c r="G336" s="59">
        <v>15</v>
      </c>
      <c r="H336" s="59">
        <v>3</v>
      </c>
      <c r="I336" s="57" t="s">
        <v>977</v>
      </c>
    </row>
    <row r="337" spans="1:9" x14ac:dyDescent="0.2">
      <c r="A337" s="54" t="s">
        <v>701</v>
      </c>
      <c r="B337" s="55" t="s">
        <v>702</v>
      </c>
      <c r="C337" s="55">
        <v>788000</v>
      </c>
      <c r="D337" s="55"/>
      <c r="E337" s="55"/>
      <c r="F337" s="55"/>
      <c r="G337" s="56">
        <v>30</v>
      </c>
      <c r="H337" s="56">
        <v>3</v>
      </c>
      <c r="I337" s="54" t="s">
        <v>977</v>
      </c>
    </row>
    <row r="338" spans="1:9" x14ac:dyDescent="0.2">
      <c r="A338" s="57" t="s">
        <v>703</v>
      </c>
      <c r="B338" s="58" t="s">
        <v>704</v>
      </c>
      <c r="C338" s="58">
        <v>546000</v>
      </c>
      <c r="D338" s="58"/>
      <c r="E338" s="58"/>
      <c r="F338" s="58"/>
      <c r="G338" s="59">
        <v>30</v>
      </c>
      <c r="H338" s="59">
        <v>3</v>
      </c>
      <c r="I338" s="57" t="s">
        <v>977</v>
      </c>
    </row>
    <row r="339" spans="1:9" x14ac:dyDescent="0.2">
      <c r="A339" s="54" t="s">
        <v>705</v>
      </c>
      <c r="B339" s="55" t="s">
        <v>706</v>
      </c>
      <c r="C339" s="55">
        <v>29773000</v>
      </c>
      <c r="D339" s="55"/>
      <c r="E339" s="55"/>
      <c r="F339" s="55"/>
      <c r="G339" s="56">
        <v>30</v>
      </c>
      <c r="H339" s="56">
        <v>3</v>
      </c>
      <c r="I339" s="54" t="s">
        <v>977</v>
      </c>
    </row>
    <row r="340" spans="1:9" x14ac:dyDescent="0.2">
      <c r="A340" s="57" t="s">
        <v>707</v>
      </c>
      <c r="B340" s="58" t="s">
        <v>708</v>
      </c>
      <c r="C340" s="58">
        <v>73482000</v>
      </c>
      <c r="D340" s="58"/>
      <c r="E340" s="58"/>
      <c r="F340" s="58"/>
      <c r="G340" s="59">
        <v>30</v>
      </c>
      <c r="H340" s="59">
        <v>3</v>
      </c>
      <c r="I340" s="57" t="s">
        <v>977</v>
      </c>
    </row>
    <row r="341" spans="1:9" x14ac:dyDescent="0.2">
      <c r="A341" s="54" t="s">
        <v>709</v>
      </c>
      <c r="B341" s="55" t="s">
        <v>710</v>
      </c>
      <c r="C341" s="55">
        <v>162349000</v>
      </c>
      <c r="D341" s="55"/>
      <c r="E341" s="55"/>
      <c r="F341" s="55"/>
      <c r="G341" s="56">
        <v>30</v>
      </c>
      <c r="H341" s="56">
        <v>3</v>
      </c>
      <c r="I341" s="54" t="s">
        <v>977</v>
      </c>
    </row>
    <row r="342" spans="1:9" x14ac:dyDescent="0.2">
      <c r="A342" s="57" t="s">
        <v>711</v>
      </c>
      <c r="B342" s="58" t="s">
        <v>712</v>
      </c>
      <c r="C342" s="58">
        <v>20246000</v>
      </c>
      <c r="D342" s="58"/>
      <c r="E342" s="58"/>
      <c r="F342" s="58"/>
      <c r="G342" s="59">
        <v>30</v>
      </c>
      <c r="H342" s="59">
        <v>3</v>
      </c>
      <c r="I342" s="57" t="s">
        <v>977</v>
      </c>
    </row>
    <row r="343" spans="1:9" x14ac:dyDescent="0.2">
      <c r="A343" s="54" t="s">
        <v>713</v>
      </c>
      <c r="B343" s="55" t="s">
        <v>714</v>
      </c>
      <c r="C343" s="55">
        <v>20246000</v>
      </c>
      <c r="D343" s="55"/>
      <c r="E343" s="55"/>
      <c r="F343" s="55"/>
      <c r="G343" s="56">
        <v>30</v>
      </c>
      <c r="H343" s="56">
        <v>3</v>
      </c>
      <c r="I343" s="54" t="s">
        <v>977</v>
      </c>
    </row>
    <row r="344" spans="1:9" x14ac:dyDescent="0.2">
      <c r="A344" s="57" t="s">
        <v>715</v>
      </c>
      <c r="B344" s="58" t="s">
        <v>716</v>
      </c>
      <c r="C344" s="58">
        <v>6298000</v>
      </c>
      <c r="D344" s="58"/>
      <c r="E344" s="58"/>
      <c r="F344" s="58"/>
      <c r="G344" s="59">
        <v>30</v>
      </c>
      <c r="H344" s="59">
        <v>3</v>
      </c>
      <c r="I344" s="57" t="s">
        <v>977</v>
      </c>
    </row>
    <row r="345" spans="1:9" x14ac:dyDescent="0.2">
      <c r="A345" s="54" t="s">
        <v>717</v>
      </c>
      <c r="B345" s="55" t="s">
        <v>718</v>
      </c>
      <c r="C345" s="55">
        <v>108471000</v>
      </c>
      <c r="D345" s="55"/>
      <c r="E345" s="55"/>
      <c r="F345" s="55"/>
      <c r="G345" s="56">
        <v>30</v>
      </c>
      <c r="H345" s="56">
        <v>3</v>
      </c>
      <c r="I345" s="54" t="s">
        <v>977</v>
      </c>
    </row>
    <row r="346" spans="1:9" x14ac:dyDescent="0.2">
      <c r="A346" s="57" t="s">
        <v>719</v>
      </c>
      <c r="B346" s="58" t="s">
        <v>720</v>
      </c>
      <c r="C346" s="58">
        <v>11346000</v>
      </c>
      <c r="D346" s="58"/>
      <c r="E346" s="58"/>
      <c r="F346" s="58"/>
      <c r="G346" s="59">
        <v>30</v>
      </c>
      <c r="H346" s="59">
        <v>3</v>
      </c>
      <c r="I346" s="57" t="s">
        <v>977</v>
      </c>
    </row>
    <row r="347" spans="1:9" x14ac:dyDescent="0.2">
      <c r="A347" s="54" t="s">
        <v>721</v>
      </c>
      <c r="B347" s="55" t="s">
        <v>722</v>
      </c>
      <c r="C347" s="55">
        <v>58512000</v>
      </c>
      <c r="D347" s="55"/>
      <c r="E347" s="55"/>
      <c r="F347" s="55"/>
      <c r="G347" s="56">
        <v>30</v>
      </c>
      <c r="H347" s="56">
        <v>3</v>
      </c>
      <c r="I347" s="54" t="s">
        <v>977</v>
      </c>
    </row>
    <row r="348" spans="1:9" x14ac:dyDescent="0.2">
      <c r="A348" s="57" t="s">
        <v>723</v>
      </c>
      <c r="B348" s="58" t="s">
        <v>680</v>
      </c>
      <c r="C348" s="58">
        <v>9776000</v>
      </c>
      <c r="D348" s="58"/>
      <c r="E348" s="58"/>
      <c r="F348" s="58"/>
      <c r="G348" s="59">
        <v>10</v>
      </c>
      <c r="H348" s="59">
        <v>3</v>
      </c>
      <c r="I348" s="57" t="s">
        <v>977</v>
      </c>
    </row>
    <row r="349" spans="1:9" x14ac:dyDescent="0.2">
      <c r="A349" s="54" t="s">
        <v>724</v>
      </c>
      <c r="B349" s="55" t="s">
        <v>682</v>
      </c>
      <c r="C349" s="55">
        <v>14907000</v>
      </c>
      <c r="D349" s="55"/>
      <c r="E349" s="55"/>
      <c r="F349" s="55"/>
      <c r="G349" s="56">
        <v>10</v>
      </c>
      <c r="H349" s="56">
        <v>3</v>
      </c>
      <c r="I349" s="54" t="s">
        <v>977</v>
      </c>
    </row>
    <row r="350" spans="1:9" x14ac:dyDescent="0.2">
      <c r="A350" s="57" t="s">
        <v>725</v>
      </c>
      <c r="B350" s="58" t="s">
        <v>694</v>
      </c>
      <c r="C350" s="58">
        <v>84254000</v>
      </c>
      <c r="D350" s="58"/>
      <c r="E350" s="58"/>
      <c r="F350" s="58"/>
      <c r="G350" s="59">
        <v>10</v>
      </c>
      <c r="H350" s="59">
        <v>3</v>
      </c>
      <c r="I350" s="57" t="s">
        <v>977</v>
      </c>
    </row>
    <row r="351" spans="1:9" x14ac:dyDescent="0.2">
      <c r="A351" s="54" t="s">
        <v>726</v>
      </c>
      <c r="B351" s="55" t="s">
        <v>698</v>
      </c>
      <c r="C351" s="55">
        <v>13848000</v>
      </c>
      <c r="D351" s="55"/>
      <c r="E351" s="55"/>
      <c r="F351" s="55"/>
      <c r="G351" s="56">
        <v>10</v>
      </c>
      <c r="H351" s="56">
        <v>3</v>
      </c>
      <c r="I351" s="54" t="s">
        <v>977</v>
      </c>
    </row>
    <row r="352" spans="1:9" x14ac:dyDescent="0.2">
      <c r="A352" s="57" t="s">
        <v>727</v>
      </c>
      <c r="B352" s="58" t="s">
        <v>684</v>
      </c>
      <c r="C352" s="58">
        <v>11776000</v>
      </c>
      <c r="D352" s="58"/>
      <c r="E352" s="58"/>
      <c r="F352" s="58"/>
      <c r="G352" s="59">
        <v>10</v>
      </c>
      <c r="H352" s="59">
        <v>3</v>
      </c>
      <c r="I352" s="57" t="s">
        <v>977</v>
      </c>
    </row>
    <row r="353" spans="1:9" x14ac:dyDescent="0.2">
      <c r="A353" s="54" t="s">
        <v>728</v>
      </c>
      <c r="B353" s="55" t="s">
        <v>686</v>
      </c>
      <c r="C353" s="55">
        <v>61043000</v>
      </c>
      <c r="D353" s="55"/>
      <c r="E353" s="55"/>
      <c r="F353" s="55"/>
      <c r="G353" s="56">
        <v>10</v>
      </c>
      <c r="H353" s="56">
        <v>3</v>
      </c>
      <c r="I353" s="54" t="s">
        <v>977</v>
      </c>
    </row>
    <row r="354" spans="1:9" x14ac:dyDescent="0.2">
      <c r="A354" s="57" t="s">
        <v>729</v>
      </c>
      <c r="B354" s="58" t="s">
        <v>688</v>
      </c>
      <c r="C354" s="58">
        <v>14080000</v>
      </c>
      <c r="D354" s="58"/>
      <c r="E354" s="58"/>
      <c r="F354" s="58"/>
      <c r="G354" s="59">
        <v>10</v>
      </c>
      <c r="H354" s="59">
        <v>3</v>
      </c>
      <c r="I354" s="57" t="s">
        <v>977</v>
      </c>
    </row>
    <row r="355" spans="1:9" x14ac:dyDescent="0.2">
      <c r="A355" s="54" t="s">
        <v>730</v>
      </c>
      <c r="B355" s="55" t="s">
        <v>696</v>
      </c>
      <c r="C355" s="55">
        <v>141857000</v>
      </c>
      <c r="D355" s="55"/>
      <c r="E355" s="55"/>
      <c r="F355" s="55"/>
      <c r="G355" s="56">
        <v>10</v>
      </c>
      <c r="H355" s="56">
        <v>3</v>
      </c>
      <c r="I355" s="54" t="s">
        <v>977</v>
      </c>
    </row>
    <row r="356" spans="1:9" x14ac:dyDescent="0.2">
      <c r="A356" s="57" t="s">
        <v>731</v>
      </c>
      <c r="B356" s="58" t="s">
        <v>692</v>
      </c>
      <c r="C356" s="58">
        <v>18665000</v>
      </c>
      <c r="D356" s="58"/>
      <c r="E356" s="58"/>
      <c r="F356" s="58"/>
      <c r="G356" s="59">
        <v>10</v>
      </c>
      <c r="H356" s="59">
        <v>3</v>
      </c>
      <c r="I356" s="57" t="s">
        <v>977</v>
      </c>
    </row>
    <row r="357" spans="1:9" x14ac:dyDescent="0.2">
      <c r="A357" s="54" t="s">
        <v>732</v>
      </c>
      <c r="B357" s="55" t="s">
        <v>733</v>
      </c>
      <c r="C357" s="55">
        <v>533000</v>
      </c>
      <c r="D357" s="55"/>
      <c r="E357" s="55"/>
      <c r="F357" s="55"/>
      <c r="G357" s="56">
        <v>30</v>
      </c>
      <c r="H357" s="56">
        <v>3</v>
      </c>
      <c r="I357" s="54" t="s">
        <v>977</v>
      </c>
    </row>
    <row r="358" spans="1:9" x14ac:dyDescent="0.2">
      <c r="A358" s="57" t="s">
        <v>734</v>
      </c>
      <c r="B358" s="58" t="s">
        <v>735</v>
      </c>
      <c r="C358" s="58">
        <v>1580000</v>
      </c>
      <c r="D358" s="58"/>
      <c r="E358" s="58"/>
      <c r="F358" s="58"/>
      <c r="G358" s="59">
        <v>30</v>
      </c>
      <c r="H358" s="59">
        <v>3</v>
      </c>
      <c r="I358" s="57" t="s">
        <v>977</v>
      </c>
    </row>
    <row r="359" spans="1:9" x14ac:dyDescent="0.2">
      <c r="A359" s="54" t="s">
        <v>736</v>
      </c>
      <c r="B359" s="55" t="s">
        <v>737</v>
      </c>
      <c r="C359" s="55">
        <v>6775000</v>
      </c>
      <c r="D359" s="55"/>
      <c r="E359" s="55"/>
      <c r="F359" s="55"/>
      <c r="G359" s="56">
        <v>30</v>
      </c>
      <c r="H359" s="56">
        <v>3</v>
      </c>
      <c r="I359" s="54" t="s">
        <v>977</v>
      </c>
    </row>
    <row r="360" spans="1:9" x14ac:dyDescent="0.2">
      <c r="A360" s="57" t="s">
        <v>738</v>
      </c>
      <c r="B360" s="58" t="s">
        <v>739</v>
      </c>
      <c r="C360" s="58">
        <v>2118000</v>
      </c>
      <c r="D360" s="58"/>
      <c r="E360" s="58"/>
      <c r="F360" s="58"/>
      <c r="G360" s="59">
        <v>30</v>
      </c>
      <c r="H360" s="59">
        <v>3</v>
      </c>
      <c r="I360" s="57" t="s">
        <v>977</v>
      </c>
    </row>
    <row r="361" spans="1:9" x14ac:dyDescent="0.2">
      <c r="A361" s="54" t="s">
        <v>740</v>
      </c>
      <c r="B361" s="55" t="s">
        <v>741</v>
      </c>
      <c r="C361" s="55">
        <v>1603000</v>
      </c>
      <c r="D361" s="55"/>
      <c r="E361" s="55"/>
      <c r="F361" s="55"/>
      <c r="G361" s="56">
        <v>30</v>
      </c>
      <c r="H361" s="56">
        <v>2</v>
      </c>
      <c r="I361" s="54" t="s">
        <v>977</v>
      </c>
    </row>
    <row r="362" spans="1:9" x14ac:dyDescent="0.2">
      <c r="A362" s="57" t="s">
        <v>742</v>
      </c>
      <c r="B362" s="58" t="s">
        <v>743</v>
      </c>
      <c r="C362" s="58">
        <v>20940000</v>
      </c>
      <c r="D362" s="58"/>
      <c r="E362" s="58"/>
      <c r="F362" s="58"/>
      <c r="G362" s="59">
        <v>30</v>
      </c>
      <c r="H362" s="59">
        <v>2</v>
      </c>
      <c r="I362" s="57" t="s">
        <v>977</v>
      </c>
    </row>
    <row r="363" spans="1:9" x14ac:dyDescent="0.2">
      <c r="A363" s="54" t="s">
        <v>744</v>
      </c>
      <c r="B363" s="55" t="s">
        <v>745</v>
      </c>
      <c r="C363" s="55">
        <v>3074000</v>
      </c>
      <c r="D363" s="55"/>
      <c r="E363" s="55"/>
      <c r="F363" s="55"/>
      <c r="G363" s="56">
        <v>30</v>
      </c>
      <c r="H363" s="56">
        <v>2</v>
      </c>
      <c r="I363" s="54" t="s">
        <v>977</v>
      </c>
    </row>
    <row r="364" spans="1:9" x14ac:dyDescent="0.2">
      <c r="A364" s="57" t="s">
        <v>746</v>
      </c>
      <c r="B364" s="58" t="s">
        <v>747</v>
      </c>
      <c r="C364" s="58">
        <v>7882000</v>
      </c>
      <c r="D364" s="58"/>
      <c r="E364" s="58"/>
      <c r="F364" s="58"/>
      <c r="G364" s="59">
        <v>30</v>
      </c>
      <c r="H364" s="59">
        <v>2</v>
      </c>
      <c r="I364" s="57" t="s">
        <v>977</v>
      </c>
    </row>
    <row r="365" spans="1:9" x14ac:dyDescent="0.2">
      <c r="A365" s="54" t="s">
        <v>748</v>
      </c>
      <c r="B365" s="55" t="s">
        <v>749</v>
      </c>
      <c r="C365" s="55">
        <v>13834000</v>
      </c>
      <c r="D365" s="55"/>
      <c r="E365" s="55"/>
      <c r="F365" s="55"/>
      <c r="G365" s="56">
        <v>30</v>
      </c>
      <c r="H365" s="56">
        <v>2</v>
      </c>
      <c r="I365" s="54" t="s">
        <v>977</v>
      </c>
    </row>
    <row r="366" spans="1:9" x14ac:dyDescent="0.2">
      <c r="A366" s="57" t="s">
        <v>750</v>
      </c>
      <c r="B366" s="58" t="s">
        <v>751</v>
      </c>
      <c r="C366" s="58">
        <v>19786000</v>
      </c>
      <c r="D366" s="58"/>
      <c r="E366" s="58"/>
      <c r="F366" s="58"/>
      <c r="G366" s="59">
        <v>30</v>
      </c>
      <c r="H366" s="59">
        <v>2</v>
      </c>
      <c r="I366" s="57" t="s">
        <v>977</v>
      </c>
    </row>
    <row r="367" spans="1:9" x14ac:dyDescent="0.2">
      <c r="A367" s="54" t="s">
        <v>752</v>
      </c>
      <c r="B367" s="55" t="s">
        <v>753</v>
      </c>
      <c r="C367" s="55">
        <v>25737000</v>
      </c>
      <c r="D367" s="55"/>
      <c r="E367" s="55"/>
      <c r="F367" s="55"/>
      <c r="G367" s="56">
        <v>30</v>
      </c>
      <c r="H367" s="56">
        <v>2</v>
      </c>
      <c r="I367" s="54" t="s">
        <v>977</v>
      </c>
    </row>
    <row r="368" spans="1:9" x14ac:dyDescent="0.2">
      <c r="A368" s="57" t="s">
        <v>754</v>
      </c>
      <c r="B368" s="58" t="s">
        <v>755</v>
      </c>
      <c r="C368" s="58">
        <v>37641000</v>
      </c>
      <c r="D368" s="58"/>
      <c r="E368" s="58"/>
      <c r="F368" s="58"/>
      <c r="G368" s="59">
        <v>30</v>
      </c>
      <c r="H368" s="59">
        <v>2</v>
      </c>
      <c r="I368" s="57" t="s">
        <v>977</v>
      </c>
    </row>
    <row r="369" spans="1:9" x14ac:dyDescent="0.2">
      <c r="A369" s="54" t="s">
        <v>756</v>
      </c>
      <c r="B369" s="55" t="s">
        <v>757</v>
      </c>
      <c r="C369" s="55">
        <v>183000</v>
      </c>
      <c r="D369" s="55"/>
      <c r="E369" s="55"/>
      <c r="F369" s="55"/>
      <c r="G369" s="56">
        <v>30</v>
      </c>
      <c r="H369" s="56">
        <v>2</v>
      </c>
      <c r="I369" s="54" t="s">
        <v>977</v>
      </c>
    </row>
    <row r="370" spans="1:9" x14ac:dyDescent="0.2">
      <c r="A370" s="57" t="s">
        <v>758</v>
      </c>
      <c r="B370" s="58" t="s">
        <v>700</v>
      </c>
      <c r="C370" s="58">
        <v>568000</v>
      </c>
      <c r="D370" s="58"/>
      <c r="E370" s="58"/>
      <c r="F370" s="58"/>
      <c r="G370" s="59">
        <v>15</v>
      </c>
      <c r="H370" s="59">
        <v>2</v>
      </c>
      <c r="I370" s="57" t="s">
        <v>977</v>
      </c>
    </row>
    <row r="371" spans="1:9" x14ac:dyDescent="0.2">
      <c r="A371" s="54" t="s">
        <v>759</v>
      </c>
      <c r="B371" s="55" t="s">
        <v>760</v>
      </c>
      <c r="C371" s="55">
        <v>610000</v>
      </c>
      <c r="D371" s="55"/>
      <c r="E371" s="55"/>
      <c r="F371" s="55"/>
      <c r="G371" s="56">
        <v>30</v>
      </c>
      <c r="H371" s="56">
        <v>2</v>
      </c>
      <c r="I371" s="54" t="s">
        <v>977</v>
      </c>
    </row>
    <row r="372" spans="1:9" x14ac:dyDescent="0.2">
      <c r="A372" s="57" t="s">
        <v>761</v>
      </c>
      <c r="B372" s="58" t="s">
        <v>762</v>
      </c>
      <c r="C372" s="58">
        <v>443000</v>
      </c>
      <c r="D372" s="58"/>
      <c r="E372" s="58"/>
      <c r="F372" s="58"/>
      <c r="G372" s="59">
        <v>30</v>
      </c>
      <c r="H372" s="59">
        <v>2</v>
      </c>
      <c r="I372" s="57" t="s">
        <v>977</v>
      </c>
    </row>
    <row r="373" spans="1:9" x14ac:dyDescent="0.2">
      <c r="A373" s="54" t="s">
        <v>763</v>
      </c>
      <c r="B373" s="55" t="s">
        <v>764</v>
      </c>
      <c r="C373" s="55">
        <v>399000</v>
      </c>
      <c r="D373" s="55"/>
      <c r="E373" s="55"/>
      <c r="F373" s="55"/>
      <c r="G373" s="56">
        <v>30</v>
      </c>
      <c r="H373" s="56">
        <v>2</v>
      </c>
      <c r="I373" s="54" t="s">
        <v>977</v>
      </c>
    </row>
    <row r="374" spans="1:9" x14ac:dyDescent="0.2">
      <c r="A374" s="57" t="s">
        <v>765</v>
      </c>
      <c r="B374" s="58" t="s">
        <v>766</v>
      </c>
      <c r="C374" s="58">
        <v>266000</v>
      </c>
      <c r="D374" s="58"/>
      <c r="E374" s="58"/>
      <c r="F374" s="58"/>
      <c r="G374" s="59">
        <v>30</v>
      </c>
      <c r="H374" s="59">
        <v>2</v>
      </c>
      <c r="I374" s="57" t="s">
        <v>977</v>
      </c>
    </row>
    <row r="375" spans="1:9" x14ac:dyDescent="0.2">
      <c r="A375" s="54" t="s">
        <v>767</v>
      </c>
      <c r="B375" s="55" t="s">
        <v>768</v>
      </c>
      <c r="C375" s="55">
        <v>371000</v>
      </c>
      <c r="D375" s="55"/>
      <c r="E375" s="55"/>
      <c r="F375" s="55"/>
      <c r="G375" s="56">
        <v>30</v>
      </c>
      <c r="H375" s="56">
        <v>2</v>
      </c>
      <c r="I375" s="54" t="s">
        <v>977</v>
      </c>
    </row>
    <row r="376" spans="1:9" x14ac:dyDescent="0.2">
      <c r="A376" s="57" t="s">
        <v>769</v>
      </c>
      <c r="B376" s="58" t="s">
        <v>770</v>
      </c>
      <c r="C376" s="58">
        <v>22812000</v>
      </c>
      <c r="D376" s="58"/>
      <c r="E376" s="58"/>
      <c r="F376" s="58"/>
      <c r="G376" s="59">
        <v>30</v>
      </c>
      <c r="H376" s="59">
        <v>2</v>
      </c>
      <c r="I376" s="57" t="s">
        <v>977</v>
      </c>
    </row>
    <row r="377" spans="1:9" x14ac:dyDescent="0.2">
      <c r="A377" s="54" t="s">
        <v>771</v>
      </c>
      <c r="B377" s="55" t="s">
        <v>772</v>
      </c>
      <c r="C377" s="55">
        <v>22657000</v>
      </c>
      <c r="D377" s="55"/>
      <c r="E377" s="55"/>
      <c r="F377" s="55"/>
      <c r="G377" s="56">
        <v>30</v>
      </c>
      <c r="H377" s="56">
        <v>2</v>
      </c>
      <c r="I377" s="54" t="s">
        <v>977</v>
      </c>
    </row>
    <row r="378" spans="1:9" x14ac:dyDescent="0.2">
      <c r="A378" s="57" t="s">
        <v>773</v>
      </c>
      <c r="B378" s="58" t="s">
        <v>774</v>
      </c>
      <c r="C378" s="58">
        <v>157305000</v>
      </c>
      <c r="D378" s="58"/>
      <c r="E378" s="58"/>
      <c r="F378" s="58"/>
      <c r="G378" s="59">
        <v>30</v>
      </c>
      <c r="H378" s="59">
        <v>2</v>
      </c>
      <c r="I378" s="57" t="s">
        <v>977</v>
      </c>
    </row>
    <row r="379" spans="1:9" x14ac:dyDescent="0.2">
      <c r="A379" s="54" t="s">
        <v>775</v>
      </c>
      <c r="B379" s="55" t="s">
        <v>776</v>
      </c>
      <c r="C379" s="55">
        <v>35520000</v>
      </c>
      <c r="D379" s="55"/>
      <c r="E379" s="55"/>
      <c r="F379" s="55"/>
      <c r="G379" s="56">
        <v>30</v>
      </c>
      <c r="H379" s="56">
        <v>2</v>
      </c>
      <c r="I379" s="54" t="s">
        <v>977</v>
      </c>
    </row>
    <row r="380" spans="1:9" x14ac:dyDescent="0.2">
      <c r="A380" s="57" t="s">
        <v>777</v>
      </c>
      <c r="B380" s="58" t="s">
        <v>778</v>
      </c>
      <c r="C380" s="58">
        <v>43834000</v>
      </c>
      <c r="D380" s="58"/>
      <c r="E380" s="58"/>
      <c r="F380" s="58"/>
      <c r="G380" s="59">
        <v>30</v>
      </c>
      <c r="H380" s="59">
        <v>2</v>
      </c>
      <c r="I380" s="57" t="s">
        <v>977</v>
      </c>
    </row>
    <row r="381" spans="1:9" x14ac:dyDescent="0.2">
      <c r="A381" s="54" t="s">
        <v>779</v>
      </c>
      <c r="B381" s="55" t="s">
        <v>780</v>
      </c>
      <c r="C381" s="55">
        <v>52684000</v>
      </c>
      <c r="D381" s="55"/>
      <c r="E381" s="55"/>
      <c r="F381" s="55"/>
      <c r="G381" s="56">
        <v>30</v>
      </c>
      <c r="H381" s="56">
        <v>2</v>
      </c>
      <c r="I381" s="54" t="s">
        <v>977</v>
      </c>
    </row>
    <row r="382" spans="1:9" x14ac:dyDescent="0.2">
      <c r="A382" s="57" t="s">
        <v>781</v>
      </c>
      <c r="B382" s="58" t="s">
        <v>782</v>
      </c>
      <c r="C382" s="58">
        <v>82698000</v>
      </c>
      <c r="D382" s="58"/>
      <c r="E382" s="58"/>
      <c r="F382" s="58"/>
      <c r="G382" s="59">
        <v>30</v>
      </c>
      <c r="H382" s="59">
        <v>2</v>
      </c>
      <c r="I382" s="57" t="s">
        <v>977</v>
      </c>
    </row>
    <row r="383" spans="1:9" x14ac:dyDescent="0.2">
      <c r="A383" s="54" t="s">
        <v>783</v>
      </c>
      <c r="B383" s="55" t="s">
        <v>784</v>
      </c>
      <c r="C383" s="55">
        <v>128988000</v>
      </c>
      <c r="D383" s="55"/>
      <c r="E383" s="55"/>
      <c r="F383" s="55"/>
      <c r="G383" s="56">
        <v>30</v>
      </c>
      <c r="H383" s="56">
        <v>2</v>
      </c>
      <c r="I383" s="54" t="s">
        <v>977</v>
      </c>
    </row>
    <row r="384" spans="1:9" x14ac:dyDescent="0.2">
      <c r="A384" s="57" t="s">
        <v>785</v>
      </c>
      <c r="B384" s="58" t="s">
        <v>786</v>
      </c>
      <c r="C384" s="58">
        <v>2955000</v>
      </c>
      <c r="D384" s="58"/>
      <c r="E384" s="58"/>
      <c r="F384" s="58"/>
      <c r="G384" s="59">
        <v>30</v>
      </c>
      <c r="H384" s="59">
        <v>2</v>
      </c>
      <c r="I384" s="57" t="s">
        <v>977</v>
      </c>
    </row>
    <row r="385" spans="1:9" x14ac:dyDescent="0.2">
      <c r="A385" s="54" t="s">
        <v>787</v>
      </c>
      <c r="B385" s="55" t="s">
        <v>788</v>
      </c>
      <c r="C385" s="55">
        <v>17323000</v>
      </c>
      <c r="D385" s="55"/>
      <c r="E385" s="55"/>
      <c r="F385" s="55"/>
      <c r="G385" s="56">
        <v>30</v>
      </c>
      <c r="H385" s="56">
        <v>2</v>
      </c>
      <c r="I385" s="54" t="s">
        <v>977</v>
      </c>
    </row>
    <row r="386" spans="1:9" x14ac:dyDescent="0.2">
      <c r="A386" s="57" t="s">
        <v>789</v>
      </c>
      <c r="B386" s="58" t="s">
        <v>790</v>
      </c>
      <c r="C386" s="58">
        <v>20246000</v>
      </c>
      <c r="D386" s="58"/>
      <c r="E386" s="58"/>
      <c r="F386" s="58"/>
      <c r="G386" s="59">
        <v>30</v>
      </c>
      <c r="H386" s="59">
        <v>2</v>
      </c>
      <c r="I386" s="57" t="s">
        <v>977</v>
      </c>
    </row>
    <row r="387" spans="1:9" x14ac:dyDescent="0.2">
      <c r="A387" s="54" t="s">
        <v>791</v>
      </c>
      <c r="B387" s="55" t="s">
        <v>792</v>
      </c>
      <c r="C387" s="55">
        <v>17323000</v>
      </c>
      <c r="D387" s="55"/>
      <c r="E387" s="55"/>
      <c r="F387" s="55"/>
      <c r="G387" s="56">
        <v>30</v>
      </c>
      <c r="H387" s="56">
        <v>2</v>
      </c>
      <c r="I387" s="54" t="s">
        <v>977</v>
      </c>
    </row>
    <row r="388" spans="1:9" x14ac:dyDescent="0.2">
      <c r="A388" s="57" t="s">
        <v>793</v>
      </c>
      <c r="B388" s="58" t="s">
        <v>794</v>
      </c>
      <c r="C388" s="58">
        <v>20246000</v>
      </c>
      <c r="D388" s="58"/>
      <c r="E388" s="58"/>
      <c r="F388" s="58"/>
      <c r="G388" s="59">
        <v>30</v>
      </c>
      <c r="H388" s="59">
        <v>2</v>
      </c>
      <c r="I388" s="57" t="s">
        <v>977</v>
      </c>
    </row>
    <row r="389" spans="1:9" x14ac:dyDescent="0.2">
      <c r="A389" s="54" t="s">
        <v>795</v>
      </c>
      <c r="B389" s="55" t="s">
        <v>796</v>
      </c>
      <c r="C389" s="55">
        <v>17323000</v>
      </c>
      <c r="D389" s="55"/>
      <c r="E389" s="55"/>
      <c r="F389" s="55"/>
      <c r="G389" s="56">
        <v>30</v>
      </c>
      <c r="H389" s="56">
        <v>2</v>
      </c>
      <c r="I389" s="54" t="s">
        <v>977</v>
      </c>
    </row>
    <row r="390" spans="1:9" x14ac:dyDescent="0.2">
      <c r="A390" s="57" t="s">
        <v>797</v>
      </c>
      <c r="B390" s="58" t="s">
        <v>798</v>
      </c>
      <c r="C390" s="58">
        <v>11363000</v>
      </c>
      <c r="D390" s="58"/>
      <c r="E390" s="58"/>
      <c r="F390" s="58"/>
      <c r="G390" s="59">
        <v>30</v>
      </c>
      <c r="H390" s="59">
        <v>2</v>
      </c>
      <c r="I390" s="57" t="s">
        <v>977</v>
      </c>
    </row>
    <row r="391" spans="1:9" x14ac:dyDescent="0.2">
      <c r="A391" s="54" t="s">
        <v>799</v>
      </c>
      <c r="B391" s="55" t="s">
        <v>800</v>
      </c>
      <c r="C391" s="55">
        <v>5327000</v>
      </c>
      <c r="D391" s="55"/>
      <c r="E391" s="55"/>
      <c r="F391" s="55"/>
      <c r="G391" s="56">
        <v>30</v>
      </c>
      <c r="H391" s="56">
        <v>2</v>
      </c>
      <c r="I391" s="54" t="s">
        <v>977</v>
      </c>
    </row>
    <row r="392" spans="1:9" x14ac:dyDescent="0.2">
      <c r="A392" s="57" t="s">
        <v>801</v>
      </c>
      <c r="B392" s="58" t="s">
        <v>802</v>
      </c>
      <c r="C392" s="58">
        <v>58512000</v>
      </c>
      <c r="D392" s="58"/>
      <c r="E392" s="58"/>
      <c r="F392" s="58"/>
      <c r="G392" s="59">
        <v>10</v>
      </c>
      <c r="H392" s="59">
        <v>2</v>
      </c>
      <c r="I392" s="57" t="s">
        <v>977</v>
      </c>
    </row>
    <row r="393" spans="1:9" x14ac:dyDescent="0.2">
      <c r="A393" s="54" t="s">
        <v>803</v>
      </c>
      <c r="B393" s="55" t="s">
        <v>680</v>
      </c>
      <c r="C393" s="55">
        <v>9776000</v>
      </c>
      <c r="D393" s="55"/>
      <c r="E393" s="55"/>
      <c r="F393" s="55"/>
      <c r="G393" s="56">
        <v>30</v>
      </c>
      <c r="H393" s="56">
        <v>2</v>
      </c>
      <c r="I393" s="54" t="s">
        <v>977</v>
      </c>
    </row>
    <row r="394" spans="1:9" x14ac:dyDescent="0.2">
      <c r="A394" s="57" t="s">
        <v>804</v>
      </c>
      <c r="B394" s="58" t="s">
        <v>682</v>
      </c>
      <c r="C394" s="58">
        <v>14907000</v>
      </c>
      <c r="D394" s="58"/>
      <c r="E394" s="58"/>
      <c r="F394" s="58"/>
      <c r="G394" s="59">
        <v>10</v>
      </c>
      <c r="H394" s="59">
        <v>2</v>
      </c>
      <c r="I394" s="57" t="s">
        <v>977</v>
      </c>
    </row>
    <row r="395" spans="1:9" x14ac:dyDescent="0.2">
      <c r="A395" s="54" t="s">
        <v>805</v>
      </c>
      <c r="B395" s="55" t="s">
        <v>806</v>
      </c>
      <c r="C395" s="55">
        <v>42362000</v>
      </c>
      <c r="D395" s="55"/>
      <c r="E395" s="55"/>
      <c r="F395" s="55"/>
      <c r="G395" s="56">
        <v>30</v>
      </c>
      <c r="H395" s="56">
        <v>2</v>
      </c>
      <c r="I395" s="54" t="s">
        <v>977</v>
      </c>
    </row>
    <row r="396" spans="1:9" x14ac:dyDescent="0.2">
      <c r="A396" s="57" t="s">
        <v>807</v>
      </c>
      <c r="B396" s="58" t="s">
        <v>808</v>
      </c>
      <c r="C396" s="58">
        <v>69422000</v>
      </c>
      <c r="D396" s="58"/>
      <c r="E396" s="58"/>
      <c r="F396" s="58"/>
      <c r="G396" s="59">
        <v>30</v>
      </c>
      <c r="H396" s="59">
        <v>2</v>
      </c>
      <c r="I396" s="57" t="s">
        <v>977</v>
      </c>
    </row>
    <row r="397" spans="1:9" x14ac:dyDescent="0.2">
      <c r="A397" s="54" t="s">
        <v>809</v>
      </c>
      <c r="B397" s="55" t="s">
        <v>718</v>
      </c>
      <c r="C397" s="55">
        <v>108471000</v>
      </c>
      <c r="D397" s="55"/>
      <c r="E397" s="55"/>
      <c r="F397" s="55"/>
      <c r="G397" s="56">
        <v>30</v>
      </c>
      <c r="H397" s="56">
        <v>2</v>
      </c>
      <c r="I397" s="54" t="s">
        <v>977</v>
      </c>
    </row>
    <row r="398" spans="1:9" x14ac:dyDescent="0.2">
      <c r="A398" s="57" t="s">
        <v>810</v>
      </c>
      <c r="B398" s="58" t="s">
        <v>811</v>
      </c>
      <c r="C398" s="58">
        <v>5699000</v>
      </c>
      <c r="D398" s="58"/>
      <c r="E398" s="58"/>
      <c r="F398" s="58"/>
      <c r="G398" s="59">
        <v>30</v>
      </c>
      <c r="H398" s="59">
        <v>2</v>
      </c>
      <c r="I398" s="57" t="s">
        <v>977</v>
      </c>
    </row>
    <row r="399" spans="1:9" x14ac:dyDescent="0.2">
      <c r="A399" s="54" t="s">
        <v>812</v>
      </c>
      <c r="B399" s="55" t="s">
        <v>813</v>
      </c>
      <c r="C399" s="55"/>
      <c r="D399" s="55">
        <v>161846000</v>
      </c>
      <c r="E399" s="55">
        <v>54795000</v>
      </c>
      <c r="F399" s="55"/>
      <c r="G399" s="56">
        <v>30</v>
      </c>
      <c r="H399" s="56"/>
      <c r="I399" s="54" t="s">
        <v>978</v>
      </c>
    </row>
    <row r="400" spans="1:9" x14ac:dyDescent="0.2">
      <c r="A400" s="57" t="s">
        <v>814</v>
      </c>
      <c r="B400" s="58" t="s">
        <v>815</v>
      </c>
      <c r="C400" s="58"/>
      <c r="D400" s="58">
        <v>174071000</v>
      </c>
      <c r="E400" s="58">
        <v>48568000</v>
      </c>
      <c r="F400" s="58"/>
      <c r="G400" s="59">
        <v>30</v>
      </c>
      <c r="H400" s="59"/>
      <c r="I400" s="57" t="s">
        <v>978</v>
      </c>
    </row>
    <row r="401" spans="1:9" x14ac:dyDescent="0.2">
      <c r="A401" s="54" t="s">
        <v>816</v>
      </c>
      <c r="B401" s="55" t="s">
        <v>817</v>
      </c>
      <c r="C401" s="55"/>
      <c r="D401" s="55">
        <v>234809000</v>
      </c>
      <c r="E401" s="55">
        <v>44500000</v>
      </c>
      <c r="F401" s="55"/>
      <c r="G401" s="56">
        <v>30</v>
      </c>
      <c r="H401" s="56"/>
      <c r="I401" s="54" t="s">
        <v>978</v>
      </c>
    </row>
    <row r="402" spans="1:9" x14ac:dyDescent="0.2">
      <c r="A402" s="57" t="s">
        <v>818</v>
      </c>
      <c r="B402" s="58" t="s">
        <v>819</v>
      </c>
      <c r="C402" s="58"/>
      <c r="D402" s="58">
        <v>254438000</v>
      </c>
      <c r="E402" s="58">
        <v>42096000</v>
      </c>
      <c r="F402" s="58"/>
      <c r="G402" s="59">
        <v>30</v>
      </c>
      <c r="H402" s="59"/>
      <c r="I402" s="57" t="s">
        <v>978</v>
      </c>
    </row>
    <row r="403" spans="1:9" x14ac:dyDescent="0.2">
      <c r="A403" s="54" t="s">
        <v>820</v>
      </c>
      <c r="B403" s="55" t="s">
        <v>821</v>
      </c>
      <c r="C403" s="55"/>
      <c r="D403" s="55">
        <v>267152000</v>
      </c>
      <c r="E403" s="55">
        <v>40902000</v>
      </c>
      <c r="F403" s="55"/>
      <c r="G403" s="56">
        <v>30</v>
      </c>
      <c r="H403" s="56"/>
      <c r="I403" s="54" t="s">
        <v>978</v>
      </c>
    </row>
    <row r="404" spans="1:9" x14ac:dyDescent="0.2">
      <c r="A404" s="57" t="s">
        <v>822</v>
      </c>
      <c r="B404" s="58" t="s">
        <v>823</v>
      </c>
      <c r="C404" s="58"/>
      <c r="D404" s="58">
        <v>414005000</v>
      </c>
      <c r="E404" s="58">
        <v>39052000</v>
      </c>
      <c r="F404" s="58"/>
      <c r="G404" s="59">
        <v>30</v>
      </c>
      <c r="H404" s="59"/>
      <c r="I404" s="57" t="s">
        <v>978</v>
      </c>
    </row>
    <row r="405" spans="1:9" x14ac:dyDescent="0.2">
      <c r="A405" s="54" t="s">
        <v>824</v>
      </c>
      <c r="B405" s="55" t="s">
        <v>825</v>
      </c>
      <c r="C405" s="55"/>
      <c r="D405" s="55">
        <v>438082000</v>
      </c>
      <c r="E405" s="55">
        <v>37640000</v>
      </c>
      <c r="F405" s="55"/>
      <c r="G405" s="56">
        <v>30</v>
      </c>
      <c r="H405" s="56"/>
      <c r="I405" s="54" t="s">
        <v>978</v>
      </c>
    </row>
    <row r="406" spans="1:9" x14ac:dyDescent="0.2">
      <c r="A406" s="57" t="s">
        <v>826</v>
      </c>
      <c r="B406" s="58" t="s">
        <v>827</v>
      </c>
      <c r="C406" s="58"/>
      <c r="D406" s="58">
        <v>455779000</v>
      </c>
      <c r="E406" s="58">
        <v>36763000</v>
      </c>
      <c r="F406" s="58"/>
      <c r="G406" s="59">
        <v>30</v>
      </c>
      <c r="H406" s="59"/>
      <c r="I406" s="57" t="s">
        <v>978</v>
      </c>
    </row>
    <row r="407" spans="1:9" x14ac:dyDescent="0.2">
      <c r="A407" s="54" t="s">
        <v>828</v>
      </c>
      <c r="B407" s="55" t="s">
        <v>829</v>
      </c>
      <c r="C407" s="55"/>
      <c r="D407" s="55">
        <v>484711000</v>
      </c>
      <c r="E407" s="55">
        <v>35538000</v>
      </c>
      <c r="F407" s="55"/>
      <c r="G407" s="56">
        <v>30</v>
      </c>
      <c r="H407" s="56"/>
      <c r="I407" s="54" t="s">
        <v>978</v>
      </c>
    </row>
    <row r="408" spans="1:9" x14ac:dyDescent="0.2">
      <c r="A408" s="57" t="s">
        <v>830</v>
      </c>
      <c r="B408" s="58" t="s">
        <v>831</v>
      </c>
      <c r="C408" s="58"/>
      <c r="D408" s="58">
        <v>518654000</v>
      </c>
      <c r="E408" s="58">
        <v>34336000</v>
      </c>
      <c r="F408" s="58"/>
      <c r="G408" s="59">
        <v>30</v>
      </c>
      <c r="H408" s="59"/>
      <c r="I408" s="57" t="s">
        <v>978</v>
      </c>
    </row>
    <row r="409" spans="1:9" x14ac:dyDescent="0.2">
      <c r="A409" s="54" t="s">
        <v>832</v>
      </c>
      <c r="B409" s="55" t="s">
        <v>833</v>
      </c>
      <c r="C409" s="55"/>
      <c r="D409" s="55">
        <v>171525000</v>
      </c>
      <c r="E409" s="55">
        <v>48603000</v>
      </c>
      <c r="F409" s="55"/>
      <c r="G409" s="56">
        <v>30</v>
      </c>
      <c r="H409" s="56"/>
      <c r="I409" s="54" t="s">
        <v>978</v>
      </c>
    </row>
    <row r="410" spans="1:9" x14ac:dyDescent="0.2">
      <c r="A410" s="57" t="s">
        <v>834</v>
      </c>
      <c r="B410" s="58" t="s">
        <v>835</v>
      </c>
      <c r="C410" s="58"/>
      <c r="D410" s="58">
        <v>234549000</v>
      </c>
      <c r="E410" s="58">
        <v>44091000</v>
      </c>
      <c r="F410" s="58"/>
      <c r="G410" s="59">
        <v>30</v>
      </c>
      <c r="H410" s="59"/>
      <c r="I410" s="57" t="s">
        <v>978</v>
      </c>
    </row>
    <row r="411" spans="1:9" x14ac:dyDescent="0.2">
      <c r="A411" s="54" t="s">
        <v>836</v>
      </c>
      <c r="B411" s="55" t="s">
        <v>837</v>
      </c>
      <c r="C411" s="55"/>
      <c r="D411" s="55">
        <v>251540000</v>
      </c>
      <c r="E411" s="55">
        <v>39057000</v>
      </c>
      <c r="F411" s="55"/>
      <c r="G411" s="56">
        <v>30</v>
      </c>
      <c r="H411" s="56"/>
      <c r="I411" s="54" t="s">
        <v>978</v>
      </c>
    </row>
    <row r="412" spans="1:9" x14ac:dyDescent="0.2">
      <c r="A412" s="57" t="s">
        <v>838</v>
      </c>
      <c r="B412" s="58" t="s">
        <v>839</v>
      </c>
      <c r="C412" s="58"/>
      <c r="D412" s="58">
        <v>263494000</v>
      </c>
      <c r="E412" s="58">
        <v>37764000</v>
      </c>
      <c r="F412" s="58"/>
      <c r="G412" s="59">
        <v>30</v>
      </c>
      <c r="H412" s="59"/>
      <c r="I412" s="57" t="s">
        <v>978</v>
      </c>
    </row>
    <row r="413" spans="1:9" x14ac:dyDescent="0.2">
      <c r="A413" s="54" t="s">
        <v>840</v>
      </c>
      <c r="B413" s="55" t="s">
        <v>841</v>
      </c>
      <c r="C413" s="55"/>
      <c r="D413" s="55">
        <v>408773000</v>
      </c>
      <c r="E413" s="55">
        <v>35760000</v>
      </c>
      <c r="F413" s="55"/>
      <c r="G413" s="56">
        <v>30</v>
      </c>
      <c r="H413" s="56"/>
      <c r="I413" s="54" t="s">
        <v>978</v>
      </c>
    </row>
    <row r="414" spans="1:9" x14ac:dyDescent="0.2">
      <c r="A414" s="57" t="s">
        <v>842</v>
      </c>
      <c r="B414" s="58" t="s">
        <v>843</v>
      </c>
      <c r="C414" s="58"/>
      <c r="D414" s="58">
        <v>431218000</v>
      </c>
      <c r="E414" s="58">
        <v>34231000</v>
      </c>
      <c r="F414" s="58"/>
      <c r="G414" s="59">
        <v>30</v>
      </c>
      <c r="H414" s="59"/>
      <c r="I414" s="57" t="s">
        <v>978</v>
      </c>
    </row>
    <row r="415" spans="1:9" x14ac:dyDescent="0.2">
      <c r="A415" s="54" t="s">
        <v>844</v>
      </c>
      <c r="B415" s="55" t="s">
        <v>845</v>
      </c>
      <c r="C415" s="55"/>
      <c r="D415" s="55">
        <v>447662000</v>
      </c>
      <c r="E415" s="55">
        <v>33281000</v>
      </c>
      <c r="F415" s="55"/>
      <c r="G415" s="56">
        <v>30</v>
      </c>
      <c r="H415" s="56"/>
      <c r="I415" s="54" t="s">
        <v>978</v>
      </c>
    </row>
    <row r="416" spans="1:9" x14ac:dyDescent="0.2">
      <c r="A416" s="57" t="s">
        <v>846</v>
      </c>
      <c r="B416" s="58" t="s">
        <v>847</v>
      </c>
      <c r="C416" s="58"/>
      <c r="D416" s="58">
        <v>474457000</v>
      </c>
      <c r="E416" s="58">
        <v>31953000</v>
      </c>
      <c r="F416" s="58"/>
      <c r="G416" s="59">
        <v>30</v>
      </c>
      <c r="H416" s="59"/>
      <c r="I416" s="57" t="s">
        <v>978</v>
      </c>
    </row>
    <row r="417" spans="1:9" x14ac:dyDescent="0.2">
      <c r="A417" s="54" t="s">
        <v>848</v>
      </c>
      <c r="B417" s="55" t="s">
        <v>849</v>
      </c>
      <c r="C417" s="55"/>
      <c r="D417" s="55">
        <v>177568000</v>
      </c>
      <c r="E417" s="55">
        <v>77123000</v>
      </c>
      <c r="F417" s="55"/>
      <c r="G417" s="56">
        <v>30</v>
      </c>
      <c r="H417" s="56"/>
      <c r="I417" s="54" t="s">
        <v>978</v>
      </c>
    </row>
    <row r="418" spans="1:9" x14ac:dyDescent="0.2">
      <c r="A418" s="57" t="s">
        <v>850</v>
      </c>
      <c r="B418" s="58" t="s">
        <v>851</v>
      </c>
      <c r="C418" s="58"/>
      <c r="D418" s="58">
        <v>243846000</v>
      </c>
      <c r="E418" s="58">
        <v>58716000</v>
      </c>
      <c r="F418" s="58"/>
      <c r="G418" s="59">
        <v>30</v>
      </c>
      <c r="H418" s="59"/>
      <c r="I418" s="57" t="s">
        <v>978</v>
      </c>
    </row>
    <row r="419" spans="1:9" x14ac:dyDescent="0.2">
      <c r="A419" s="54" t="s">
        <v>852</v>
      </c>
      <c r="B419" s="55" t="s">
        <v>853</v>
      </c>
      <c r="C419" s="55"/>
      <c r="D419" s="55">
        <v>262103000</v>
      </c>
      <c r="E419" s="55">
        <v>50134000</v>
      </c>
      <c r="F419" s="55"/>
      <c r="G419" s="56">
        <v>30</v>
      </c>
      <c r="H419" s="56"/>
      <c r="I419" s="54" t="s">
        <v>978</v>
      </c>
    </row>
    <row r="420" spans="1:9" x14ac:dyDescent="0.2">
      <c r="A420" s="57" t="s">
        <v>854</v>
      </c>
      <c r="B420" s="58" t="s">
        <v>855</v>
      </c>
      <c r="C420" s="58"/>
      <c r="D420" s="58">
        <v>275341000</v>
      </c>
      <c r="E420" s="58">
        <v>47929000</v>
      </c>
      <c r="F420" s="58"/>
      <c r="G420" s="59">
        <v>30</v>
      </c>
      <c r="H420" s="59"/>
      <c r="I420" s="57" t="s">
        <v>978</v>
      </c>
    </row>
    <row r="421" spans="1:9" x14ac:dyDescent="0.2">
      <c r="A421" s="54" t="s">
        <v>856</v>
      </c>
      <c r="B421" s="55" t="s">
        <v>857</v>
      </c>
      <c r="C421" s="55"/>
      <c r="D421" s="55">
        <v>422682000</v>
      </c>
      <c r="E421" s="55">
        <v>44513000</v>
      </c>
      <c r="F421" s="55"/>
      <c r="G421" s="56">
        <v>30</v>
      </c>
      <c r="H421" s="56"/>
      <c r="I421" s="54" t="s">
        <v>978</v>
      </c>
    </row>
    <row r="422" spans="1:9" x14ac:dyDescent="0.2">
      <c r="A422" s="57" t="s">
        <v>858</v>
      </c>
      <c r="B422" s="58" t="s">
        <v>859</v>
      </c>
      <c r="C422" s="58"/>
      <c r="D422" s="58">
        <v>458270000</v>
      </c>
      <c r="E422" s="58">
        <v>40799000</v>
      </c>
      <c r="F422" s="58"/>
      <c r="G422" s="59">
        <v>30</v>
      </c>
      <c r="H422" s="59"/>
      <c r="I422" s="57" t="s">
        <v>978</v>
      </c>
    </row>
    <row r="423" spans="1:9" x14ac:dyDescent="0.2">
      <c r="A423" s="54" t="s">
        <v>860</v>
      </c>
      <c r="B423" s="55" t="s">
        <v>861</v>
      </c>
      <c r="C423" s="55"/>
      <c r="D423" s="55">
        <v>471952000</v>
      </c>
      <c r="E423" s="55">
        <v>38021000</v>
      </c>
      <c r="F423" s="55"/>
      <c r="G423" s="56">
        <v>30</v>
      </c>
      <c r="H423" s="56"/>
      <c r="I423" s="54" t="s">
        <v>978</v>
      </c>
    </row>
    <row r="424" spans="1:9" x14ac:dyDescent="0.2">
      <c r="A424" s="57" t="s">
        <v>862</v>
      </c>
      <c r="B424" s="58" t="s">
        <v>863</v>
      </c>
      <c r="C424" s="58"/>
      <c r="D424" s="58">
        <v>152592000</v>
      </c>
      <c r="E424" s="58">
        <v>95390000</v>
      </c>
      <c r="F424" s="58"/>
      <c r="G424" s="59">
        <v>30</v>
      </c>
      <c r="H424" s="59">
        <v>4</v>
      </c>
      <c r="I424" s="57" t="s">
        <v>978</v>
      </c>
    </row>
    <row r="425" spans="1:9" x14ac:dyDescent="0.2">
      <c r="A425" s="54" t="s">
        <v>864</v>
      </c>
      <c r="B425" s="55" t="s">
        <v>865</v>
      </c>
      <c r="C425" s="55"/>
      <c r="D425" s="55">
        <v>161743000</v>
      </c>
      <c r="E425" s="55">
        <v>74400000</v>
      </c>
      <c r="F425" s="55"/>
      <c r="G425" s="56">
        <v>30</v>
      </c>
      <c r="H425" s="56">
        <v>4</v>
      </c>
      <c r="I425" s="54" t="s">
        <v>978</v>
      </c>
    </row>
    <row r="426" spans="1:9" x14ac:dyDescent="0.2">
      <c r="A426" s="57" t="s">
        <v>866</v>
      </c>
      <c r="B426" s="58" t="s">
        <v>867</v>
      </c>
      <c r="C426" s="58"/>
      <c r="D426" s="58">
        <v>172110000</v>
      </c>
      <c r="E426" s="58">
        <v>64011000</v>
      </c>
      <c r="F426" s="58"/>
      <c r="G426" s="59">
        <v>30</v>
      </c>
      <c r="H426" s="59">
        <v>4</v>
      </c>
      <c r="I426" s="57" t="s">
        <v>978</v>
      </c>
    </row>
    <row r="427" spans="1:9" x14ac:dyDescent="0.2">
      <c r="A427" s="54" t="s">
        <v>868</v>
      </c>
      <c r="B427" s="55" t="s">
        <v>869</v>
      </c>
      <c r="C427" s="55"/>
      <c r="D427" s="55">
        <v>181070000</v>
      </c>
      <c r="E427" s="55">
        <v>57047000</v>
      </c>
      <c r="F427" s="55"/>
      <c r="G427" s="56">
        <v>30</v>
      </c>
      <c r="H427" s="56">
        <v>4</v>
      </c>
      <c r="I427" s="54" t="s">
        <v>978</v>
      </c>
    </row>
    <row r="428" spans="1:9" x14ac:dyDescent="0.2">
      <c r="A428" s="57" t="s">
        <v>870</v>
      </c>
      <c r="B428" s="58" t="s">
        <v>871</v>
      </c>
      <c r="C428" s="58"/>
      <c r="D428" s="58">
        <v>192852000</v>
      </c>
      <c r="E428" s="58">
        <v>49593000</v>
      </c>
      <c r="F428" s="58"/>
      <c r="G428" s="59">
        <v>30</v>
      </c>
      <c r="H428" s="59">
        <v>4</v>
      </c>
      <c r="I428" s="57" t="s">
        <v>978</v>
      </c>
    </row>
    <row r="429" spans="1:9" x14ac:dyDescent="0.2">
      <c r="A429" s="54" t="s">
        <v>872</v>
      </c>
      <c r="B429" s="55" t="s">
        <v>873</v>
      </c>
      <c r="C429" s="55"/>
      <c r="D429" s="55">
        <v>247740000</v>
      </c>
      <c r="E429" s="55">
        <v>42513000</v>
      </c>
      <c r="F429" s="55"/>
      <c r="G429" s="56">
        <v>30</v>
      </c>
      <c r="H429" s="56">
        <v>4</v>
      </c>
      <c r="I429" s="54" t="s">
        <v>978</v>
      </c>
    </row>
    <row r="430" spans="1:9" x14ac:dyDescent="0.2">
      <c r="A430" s="57" t="s">
        <v>874</v>
      </c>
      <c r="B430" s="58" t="s">
        <v>875</v>
      </c>
      <c r="C430" s="58"/>
      <c r="D430" s="58">
        <v>261206000</v>
      </c>
      <c r="E430" s="58">
        <v>37201000</v>
      </c>
      <c r="F430" s="58"/>
      <c r="G430" s="59">
        <v>30</v>
      </c>
      <c r="H430" s="59">
        <v>4</v>
      </c>
      <c r="I430" s="57" t="s">
        <v>978</v>
      </c>
    </row>
    <row r="431" spans="1:9" x14ac:dyDescent="0.2">
      <c r="A431" s="54" t="s">
        <v>876</v>
      </c>
      <c r="B431" s="55" t="s">
        <v>877</v>
      </c>
      <c r="C431" s="55"/>
      <c r="D431" s="55">
        <v>273655000</v>
      </c>
      <c r="E431" s="55">
        <v>32950000</v>
      </c>
      <c r="F431" s="55"/>
      <c r="G431" s="56">
        <v>30</v>
      </c>
      <c r="H431" s="56">
        <v>4</v>
      </c>
      <c r="I431" s="54" t="s">
        <v>978</v>
      </c>
    </row>
    <row r="432" spans="1:9" x14ac:dyDescent="0.2">
      <c r="A432" s="57" t="s">
        <v>878</v>
      </c>
      <c r="B432" s="58" t="s">
        <v>879</v>
      </c>
      <c r="C432" s="58"/>
      <c r="D432" s="58">
        <v>416987000</v>
      </c>
      <c r="E432" s="58">
        <v>29569000</v>
      </c>
      <c r="F432" s="58"/>
      <c r="G432" s="59">
        <v>30</v>
      </c>
      <c r="H432" s="59">
        <v>4</v>
      </c>
      <c r="I432" s="57" t="s">
        <v>978</v>
      </c>
    </row>
    <row r="433" spans="1:9" x14ac:dyDescent="0.2">
      <c r="A433" s="54" t="s">
        <v>880</v>
      </c>
      <c r="B433" s="55" t="s">
        <v>881</v>
      </c>
      <c r="C433" s="55"/>
      <c r="D433" s="55">
        <v>465610000</v>
      </c>
      <c r="E433" s="55">
        <v>25125000</v>
      </c>
      <c r="F433" s="55"/>
      <c r="G433" s="56">
        <v>30</v>
      </c>
      <c r="H433" s="56">
        <v>4</v>
      </c>
      <c r="I433" s="54" t="s">
        <v>978</v>
      </c>
    </row>
    <row r="434" spans="1:9" x14ac:dyDescent="0.2">
      <c r="A434" s="57" t="s">
        <v>882</v>
      </c>
      <c r="B434" s="58" t="s">
        <v>883</v>
      </c>
      <c r="C434" s="58"/>
      <c r="D434" s="58">
        <v>470974000</v>
      </c>
      <c r="E434" s="58">
        <v>20350000</v>
      </c>
      <c r="F434" s="58"/>
      <c r="G434" s="59">
        <v>30</v>
      </c>
      <c r="H434" s="59">
        <v>4</v>
      </c>
      <c r="I434" s="57" t="s">
        <v>978</v>
      </c>
    </row>
    <row r="435" spans="1:9" x14ac:dyDescent="0.2">
      <c r="A435" s="54" t="s">
        <v>884</v>
      </c>
      <c r="B435" s="55" t="s">
        <v>885</v>
      </c>
      <c r="C435" s="55"/>
      <c r="D435" s="55">
        <v>153214000</v>
      </c>
      <c r="E435" s="55">
        <v>107134000</v>
      </c>
      <c r="F435" s="55"/>
      <c r="G435" s="56">
        <v>30</v>
      </c>
      <c r="H435" s="56">
        <v>4</v>
      </c>
      <c r="I435" s="54" t="s">
        <v>978</v>
      </c>
    </row>
    <row r="436" spans="1:9" x14ac:dyDescent="0.2">
      <c r="A436" s="57" t="s">
        <v>886</v>
      </c>
      <c r="B436" s="58" t="s">
        <v>887</v>
      </c>
      <c r="C436" s="58"/>
      <c r="D436" s="58">
        <v>164096000</v>
      </c>
      <c r="E436" s="58">
        <v>86212000</v>
      </c>
      <c r="F436" s="58"/>
      <c r="G436" s="59">
        <v>30</v>
      </c>
      <c r="H436" s="59">
        <v>4</v>
      </c>
      <c r="I436" s="57" t="s">
        <v>978</v>
      </c>
    </row>
    <row r="437" spans="1:9" x14ac:dyDescent="0.2">
      <c r="A437" s="54" t="s">
        <v>888</v>
      </c>
      <c r="B437" s="55" t="s">
        <v>889</v>
      </c>
      <c r="C437" s="55"/>
      <c r="D437" s="55">
        <v>180004000</v>
      </c>
      <c r="E437" s="55">
        <v>72187000</v>
      </c>
      <c r="F437" s="55"/>
      <c r="G437" s="56">
        <v>30</v>
      </c>
      <c r="H437" s="56">
        <v>4</v>
      </c>
      <c r="I437" s="54" t="s">
        <v>978</v>
      </c>
    </row>
    <row r="438" spans="1:9" x14ac:dyDescent="0.2">
      <c r="A438" s="57" t="s">
        <v>890</v>
      </c>
      <c r="B438" s="58" t="s">
        <v>891</v>
      </c>
      <c r="C438" s="58"/>
      <c r="D438" s="58">
        <v>198017000</v>
      </c>
      <c r="E438" s="58">
        <v>59343000</v>
      </c>
      <c r="F438" s="58"/>
      <c r="G438" s="59">
        <v>30</v>
      </c>
      <c r="H438" s="59">
        <v>4</v>
      </c>
      <c r="I438" s="57" t="s">
        <v>978</v>
      </c>
    </row>
    <row r="439" spans="1:9" x14ac:dyDescent="0.2">
      <c r="A439" s="54" t="s">
        <v>892</v>
      </c>
      <c r="B439" s="55" t="s">
        <v>893</v>
      </c>
      <c r="C439" s="55"/>
      <c r="D439" s="55">
        <v>253892000</v>
      </c>
      <c r="E439" s="55">
        <v>50807000</v>
      </c>
      <c r="F439" s="55"/>
      <c r="G439" s="56">
        <v>30</v>
      </c>
      <c r="H439" s="56">
        <v>4</v>
      </c>
      <c r="I439" s="54" t="s">
        <v>978</v>
      </c>
    </row>
    <row r="440" spans="1:9" x14ac:dyDescent="0.2">
      <c r="A440" s="57" t="s">
        <v>894</v>
      </c>
      <c r="B440" s="58" t="s">
        <v>895</v>
      </c>
      <c r="C440" s="58"/>
      <c r="D440" s="58">
        <v>268073000</v>
      </c>
      <c r="E440" s="58">
        <v>44404000</v>
      </c>
      <c r="F440" s="58"/>
      <c r="G440" s="59">
        <v>30</v>
      </c>
      <c r="H440" s="59">
        <v>4</v>
      </c>
      <c r="I440" s="57" t="s">
        <v>978</v>
      </c>
    </row>
    <row r="441" spans="1:9" x14ac:dyDescent="0.2">
      <c r="A441" s="54" t="s">
        <v>896</v>
      </c>
      <c r="B441" s="55" t="s">
        <v>897</v>
      </c>
      <c r="C441" s="55"/>
      <c r="D441" s="55">
        <v>281030000</v>
      </c>
      <c r="E441" s="55">
        <v>39278000</v>
      </c>
      <c r="F441" s="55"/>
      <c r="G441" s="56">
        <v>30</v>
      </c>
      <c r="H441" s="56">
        <v>4</v>
      </c>
      <c r="I441" s="54" t="s">
        <v>978</v>
      </c>
    </row>
    <row r="442" spans="1:9" x14ac:dyDescent="0.2">
      <c r="A442" s="57" t="s">
        <v>898</v>
      </c>
      <c r="B442" s="58" t="s">
        <v>899</v>
      </c>
      <c r="C442" s="58"/>
      <c r="D442" s="58">
        <v>282338000</v>
      </c>
      <c r="E442" s="58">
        <v>33289000</v>
      </c>
      <c r="F442" s="58"/>
      <c r="G442" s="59">
        <v>30</v>
      </c>
      <c r="H442" s="59">
        <v>4</v>
      </c>
      <c r="I442" s="57" t="s">
        <v>978</v>
      </c>
    </row>
    <row r="443" spans="1:9" x14ac:dyDescent="0.2">
      <c r="A443" s="54" t="s">
        <v>900</v>
      </c>
      <c r="B443" s="55" t="s">
        <v>901</v>
      </c>
      <c r="C443" s="55"/>
      <c r="D443" s="55">
        <v>96712000</v>
      </c>
      <c r="E443" s="55">
        <v>53376000</v>
      </c>
      <c r="F443" s="55"/>
      <c r="G443" s="56">
        <v>30</v>
      </c>
      <c r="H443" s="56">
        <v>3</v>
      </c>
      <c r="I443" s="54" t="s">
        <v>978</v>
      </c>
    </row>
    <row r="444" spans="1:9" x14ac:dyDescent="0.2">
      <c r="A444" s="57" t="s">
        <v>902</v>
      </c>
      <c r="B444" s="58" t="s">
        <v>903</v>
      </c>
      <c r="C444" s="58"/>
      <c r="D444" s="58">
        <v>103303000</v>
      </c>
      <c r="E444" s="58">
        <v>47184000</v>
      </c>
      <c r="F444" s="58"/>
      <c r="G444" s="59">
        <v>30</v>
      </c>
      <c r="H444" s="59">
        <v>3</v>
      </c>
      <c r="I444" s="57" t="s">
        <v>978</v>
      </c>
    </row>
    <row r="445" spans="1:9" x14ac:dyDescent="0.2">
      <c r="A445" s="54" t="s">
        <v>904</v>
      </c>
      <c r="B445" s="55" t="s">
        <v>905</v>
      </c>
      <c r="C445" s="55"/>
      <c r="D445" s="55">
        <v>112806000</v>
      </c>
      <c r="E445" s="55">
        <v>43497000</v>
      </c>
      <c r="F445" s="55"/>
      <c r="G445" s="56">
        <v>30</v>
      </c>
      <c r="H445" s="56">
        <v>3</v>
      </c>
      <c r="I445" s="54" t="s">
        <v>978</v>
      </c>
    </row>
    <row r="446" spans="1:9" x14ac:dyDescent="0.2">
      <c r="A446" s="57" t="s">
        <v>906</v>
      </c>
      <c r="B446" s="58" t="s">
        <v>907</v>
      </c>
      <c r="C446" s="58"/>
      <c r="D446" s="58">
        <v>126108000</v>
      </c>
      <c r="E446" s="58">
        <v>40679000</v>
      </c>
      <c r="F446" s="58"/>
      <c r="G446" s="59">
        <v>30</v>
      </c>
      <c r="H446" s="59">
        <v>3</v>
      </c>
      <c r="I446" s="57" t="s">
        <v>978</v>
      </c>
    </row>
    <row r="447" spans="1:9" x14ac:dyDescent="0.2">
      <c r="A447" s="54" t="s">
        <v>908</v>
      </c>
      <c r="B447" s="55" t="s">
        <v>909</v>
      </c>
      <c r="C447" s="55"/>
      <c r="D447" s="55">
        <v>138748000</v>
      </c>
      <c r="E447" s="55">
        <v>38765000</v>
      </c>
      <c r="F447" s="55"/>
      <c r="G447" s="56">
        <v>30</v>
      </c>
      <c r="H447" s="56">
        <v>3</v>
      </c>
      <c r="I447" s="54" t="s">
        <v>978</v>
      </c>
    </row>
    <row r="448" spans="1:9" x14ac:dyDescent="0.2">
      <c r="A448" s="57" t="s">
        <v>910</v>
      </c>
      <c r="B448" s="58" t="s">
        <v>911</v>
      </c>
      <c r="C448" s="58"/>
      <c r="D448" s="58">
        <v>157082000</v>
      </c>
      <c r="E448" s="58">
        <v>36717000</v>
      </c>
      <c r="F448" s="58"/>
      <c r="G448" s="59">
        <v>30</v>
      </c>
      <c r="H448" s="59">
        <v>3</v>
      </c>
      <c r="I448" s="57" t="s">
        <v>978</v>
      </c>
    </row>
    <row r="449" spans="1:9" x14ac:dyDescent="0.2">
      <c r="A449" s="54" t="s">
        <v>912</v>
      </c>
      <c r="B449" s="55" t="s">
        <v>913</v>
      </c>
      <c r="C449" s="55"/>
      <c r="D449" s="55">
        <v>208869000</v>
      </c>
      <c r="E449" s="55">
        <v>34070000</v>
      </c>
      <c r="F449" s="55"/>
      <c r="G449" s="56">
        <v>30</v>
      </c>
      <c r="H449" s="56">
        <v>3</v>
      </c>
      <c r="I449" s="54" t="s">
        <v>978</v>
      </c>
    </row>
    <row r="450" spans="1:9" x14ac:dyDescent="0.2">
      <c r="A450" s="57" t="s">
        <v>914</v>
      </c>
      <c r="B450" s="58" t="s">
        <v>915</v>
      </c>
      <c r="C450" s="58"/>
      <c r="D450" s="58">
        <v>31883000</v>
      </c>
      <c r="E450" s="58"/>
      <c r="F450" s="58">
        <v>16740</v>
      </c>
      <c r="G450" s="59">
        <v>30</v>
      </c>
      <c r="H450" s="59">
        <v>4</v>
      </c>
      <c r="I450" s="57" t="s">
        <v>979</v>
      </c>
    </row>
    <row r="451" spans="1:9" x14ac:dyDescent="0.2">
      <c r="A451" s="54" t="s">
        <v>916</v>
      </c>
      <c r="B451" s="55" t="s">
        <v>917</v>
      </c>
      <c r="C451" s="55"/>
      <c r="D451" s="55">
        <v>36038000</v>
      </c>
      <c r="E451" s="55"/>
      <c r="F451" s="55">
        <v>14820</v>
      </c>
      <c r="G451" s="56">
        <v>30</v>
      </c>
      <c r="H451" s="56">
        <v>4</v>
      </c>
      <c r="I451" s="54" t="s">
        <v>979</v>
      </c>
    </row>
    <row r="452" spans="1:9" x14ac:dyDescent="0.2">
      <c r="A452" s="57" t="s">
        <v>918</v>
      </c>
      <c r="B452" s="58" t="s">
        <v>919</v>
      </c>
      <c r="C452" s="58"/>
      <c r="D452" s="58">
        <v>42492000</v>
      </c>
      <c r="E452" s="58"/>
      <c r="F452" s="58">
        <v>13550</v>
      </c>
      <c r="G452" s="59">
        <v>30</v>
      </c>
      <c r="H452" s="59">
        <v>4</v>
      </c>
      <c r="I452" s="57" t="s">
        <v>979</v>
      </c>
    </row>
    <row r="453" spans="1:9" x14ac:dyDescent="0.2">
      <c r="A453" s="54" t="s">
        <v>920</v>
      </c>
      <c r="B453" s="55" t="s">
        <v>921</v>
      </c>
      <c r="C453" s="55"/>
      <c r="D453" s="55">
        <v>73560000</v>
      </c>
      <c r="E453" s="55"/>
      <c r="F453" s="55">
        <v>13130</v>
      </c>
      <c r="G453" s="56">
        <v>30</v>
      </c>
      <c r="H453" s="56">
        <v>4</v>
      </c>
      <c r="I453" s="54" t="s">
        <v>979</v>
      </c>
    </row>
    <row r="454" spans="1:9" x14ac:dyDescent="0.2">
      <c r="A454" s="57" t="s">
        <v>922</v>
      </c>
      <c r="B454" s="58" t="s">
        <v>923</v>
      </c>
      <c r="C454" s="58"/>
      <c r="D454" s="58">
        <v>130401000</v>
      </c>
      <c r="E454" s="58"/>
      <c r="F454" s="58">
        <v>13130</v>
      </c>
      <c r="G454" s="59">
        <v>30</v>
      </c>
      <c r="H454" s="59">
        <v>4</v>
      </c>
      <c r="I454" s="57" t="s">
        <v>979</v>
      </c>
    </row>
    <row r="455" spans="1:9" x14ac:dyDescent="0.2">
      <c r="A455" s="54" t="s">
        <v>924</v>
      </c>
      <c r="B455" s="55" t="s">
        <v>925</v>
      </c>
      <c r="C455" s="55"/>
      <c r="D455" s="55">
        <v>21112000</v>
      </c>
      <c r="E455" s="55"/>
      <c r="F455" s="55">
        <v>20740</v>
      </c>
      <c r="G455" s="56">
        <v>30</v>
      </c>
      <c r="H455" s="56">
        <v>3</v>
      </c>
      <c r="I455" s="54" t="s">
        <v>979</v>
      </c>
    </row>
    <row r="456" spans="1:9" x14ac:dyDescent="0.2">
      <c r="A456" s="57" t="s">
        <v>926</v>
      </c>
      <c r="B456" s="58" t="s">
        <v>927</v>
      </c>
      <c r="C456" s="58"/>
      <c r="D456" s="58">
        <v>22833000</v>
      </c>
      <c r="E456" s="58"/>
      <c r="F456" s="58">
        <v>17980</v>
      </c>
      <c r="G456" s="59">
        <v>30</v>
      </c>
      <c r="H456" s="59">
        <v>3</v>
      </c>
      <c r="I456" s="57" t="s">
        <v>979</v>
      </c>
    </row>
    <row r="457" spans="1:9" x14ac:dyDescent="0.2">
      <c r="A457" s="54" t="s">
        <v>928</v>
      </c>
      <c r="B457" s="55" t="s">
        <v>929</v>
      </c>
      <c r="C457" s="55"/>
      <c r="D457" s="55">
        <v>26589000</v>
      </c>
      <c r="E457" s="55"/>
      <c r="F457" s="55">
        <v>15920</v>
      </c>
      <c r="G457" s="56">
        <v>30</v>
      </c>
      <c r="H457" s="56">
        <v>3</v>
      </c>
      <c r="I457" s="54" t="s">
        <v>979</v>
      </c>
    </row>
    <row r="458" spans="1:9" x14ac:dyDescent="0.2">
      <c r="A458" s="57" t="s">
        <v>930</v>
      </c>
      <c r="B458" s="58" t="s">
        <v>931</v>
      </c>
      <c r="C458" s="58"/>
      <c r="D458" s="58">
        <v>48879000</v>
      </c>
      <c r="E458" s="58"/>
      <c r="F458" s="58">
        <v>15920</v>
      </c>
      <c r="G458" s="59">
        <v>30</v>
      </c>
      <c r="H458" s="59">
        <v>3</v>
      </c>
      <c r="I458" s="57" t="s">
        <v>979</v>
      </c>
    </row>
    <row r="459" spans="1:9" x14ac:dyDescent="0.2">
      <c r="A459" s="54" t="s">
        <v>932</v>
      </c>
      <c r="B459" s="55" t="s">
        <v>933</v>
      </c>
      <c r="C459" s="55"/>
      <c r="D459" s="55">
        <v>71680000</v>
      </c>
      <c r="E459" s="55"/>
      <c r="F459" s="55">
        <v>15920</v>
      </c>
      <c r="G459" s="56">
        <v>30</v>
      </c>
      <c r="H459" s="56">
        <v>3</v>
      </c>
      <c r="I459" s="54" t="s">
        <v>979</v>
      </c>
    </row>
    <row r="460" spans="1:9" x14ac:dyDescent="0.2">
      <c r="A460" s="57" t="s">
        <v>934</v>
      </c>
      <c r="B460" s="58" t="s">
        <v>935</v>
      </c>
      <c r="C460" s="58"/>
      <c r="D460" s="58">
        <v>10525000</v>
      </c>
      <c r="E460" s="58"/>
      <c r="F460" s="58">
        <v>35930</v>
      </c>
      <c r="G460" s="59">
        <v>30</v>
      </c>
      <c r="H460" s="59">
        <v>2</v>
      </c>
      <c r="I460" s="57" t="s">
        <v>979</v>
      </c>
    </row>
    <row r="461" spans="1:9" x14ac:dyDescent="0.2">
      <c r="A461" s="54" t="s">
        <v>936</v>
      </c>
      <c r="B461" s="55" t="s">
        <v>937</v>
      </c>
      <c r="C461" s="55"/>
      <c r="D461" s="55">
        <v>10608000</v>
      </c>
      <c r="E461" s="55"/>
      <c r="F461" s="55">
        <v>31810</v>
      </c>
      <c r="G461" s="56">
        <v>30</v>
      </c>
      <c r="H461" s="56">
        <v>2</v>
      </c>
      <c r="I461" s="54" t="s">
        <v>979</v>
      </c>
    </row>
    <row r="462" spans="1:9" x14ac:dyDescent="0.2">
      <c r="A462" s="57" t="s">
        <v>938</v>
      </c>
      <c r="B462" s="58" t="s">
        <v>939</v>
      </c>
      <c r="C462" s="58"/>
      <c r="D462" s="58">
        <v>11641000</v>
      </c>
      <c r="E462" s="58"/>
      <c r="F462" s="58">
        <v>28490</v>
      </c>
      <c r="G462" s="59">
        <v>30</v>
      </c>
      <c r="H462" s="59">
        <v>2</v>
      </c>
      <c r="I462" s="57" t="s">
        <v>979</v>
      </c>
    </row>
    <row r="463" spans="1:9" x14ac:dyDescent="0.2">
      <c r="A463" s="54" t="s">
        <v>940</v>
      </c>
      <c r="B463" s="55" t="s">
        <v>941</v>
      </c>
      <c r="C463" s="55"/>
      <c r="D463" s="55">
        <v>12304000</v>
      </c>
      <c r="E463" s="55"/>
      <c r="F463" s="55">
        <v>25230</v>
      </c>
      <c r="G463" s="56">
        <v>30</v>
      </c>
      <c r="H463" s="56">
        <v>2</v>
      </c>
      <c r="I463" s="54" t="s">
        <v>979</v>
      </c>
    </row>
    <row r="464" spans="1:9" x14ac:dyDescent="0.2">
      <c r="A464" s="57" t="s">
        <v>942</v>
      </c>
      <c r="B464" s="58" t="s">
        <v>943</v>
      </c>
      <c r="C464" s="58"/>
      <c r="D464" s="58">
        <v>13243000</v>
      </c>
      <c r="E464" s="58"/>
      <c r="F464" s="58">
        <v>22340</v>
      </c>
      <c r="G464" s="59">
        <v>30</v>
      </c>
      <c r="H464" s="59">
        <v>2</v>
      </c>
      <c r="I464" s="57" t="s">
        <v>979</v>
      </c>
    </row>
    <row r="465" spans="1:9" x14ac:dyDescent="0.2">
      <c r="A465" s="54" t="s">
        <v>944</v>
      </c>
      <c r="B465" s="55" t="s">
        <v>945</v>
      </c>
      <c r="C465" s="55"/>
      <c r="D465" s="55">
        <v>14655000</v>
      </c>
      <c r="E465" s="55"/>
      <c r="F465" s="55">
        <v>20420</v>
      </c>
      <c r="G465" s="56">
        <v>30</v>
      </c>
      <c r="H465" s="56">
        <v>2</v>
      </c>
      <c r="I465" s="54" t="s">
        <v>979</v>
      </c>
    </row>
  </sheetData>
  <autoFilter ref="A6:I465"/>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B4:H8"/>
  <sheetViews>
    <sheetView workbookViewId="0">
      <selection activeCell="H13" sqref="H13"/>
    </sheetView>
  </sheetViews>
  <sheetFormatPr baseColWidth="10" defaultRowHeight="15" x14ac:dyDescent="0.25"/>
  <cols>
    <col min="1" max="16384" width="11.42578125" style="182"/>
  </cols>
  <sheetData>
    <row r="4" spans="2:8" ht="61.5" x14ac:dyDescent="0.9">
      <c r="B4" s="185" t="s">
        <v>1316</v>
      </c>
      <c r="C4" s="183"/>
      <c r="D4" s="183"/>
      <c r="E4" s="183"/>
      <c r="F4" s="183"/>
      <c r="G4" s="183"/>
      <c r="H4" s="183"/>
    </row>
    <row r="6" spans="2:8" x14ac:dyDescent="0.25">
      <c r="B6" s="184" t="s">
        <v>1317</v>
      </c>
    </row>
    <row r="7" spans="2:8" x14ac:dyDescent="0.25">
      <c r="B7" s="184" t="s">
        <v>1318</v>
      </c>
    </row>
    <row r="8" spans="2:8" x14ac:dyDescent="0.25">
      <c r="B8" s="184" t="s">
        <v>1319</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100"/>
  <sheetViews>
    <sheetView showGridLines="0" topLeftCell="B1" zoomScale="70" zoomScaleNormal="70" workbookViewId="0">
      <pane ySplit="2" topLeftCell="A78" activePane="bottomLeft" state="frozen"/>
      <selection pane="bottomLeft" activeCell="J29" sqref="J28:J29"/>
    </sheetView>
  </sheetViews>
  <sheetFormatPr baseColWidth="10" defaultRowHeight="14.25" x14ac:dyDescent="0.2"/>
  <cols>
    <col min="1" max="1" width="16.7109375" style="44" bestFit="1" customWidth="1"/>
    <col min="2" max="2" width="75.28515625" style="44" bestFit="1" customWidth="1"/>
    <col min="3" max="3" width="30.5703125" style="44" customWidth="1"/>
    <col min="4" max="4" width="30.7109375" style="44" customWidth="1"/>
    <col min="5" max="5" width="26.140625" style="44" customWidth="1"/>
    <col min="6" max="6" width="26" style="44" customWidth="1"/>
    <col min="7" max="7" width="37.28515625" style="44" bestFit="1" customWidth="1"/>
    <col min="8" max="8" width="11.42578125" style="44"/>
    <col min="9" max="9" width="26.7109375" style="44" bestFit="1" customWidth="1"/>
    <col min="10" max="10" width="20" style="44" bestFit="1" customWidth="1"/>
    <col min="11" max="11" width="23.85546875" style="44" bestFit="1" customWidth="1"/>
    <col min="12" max="16384" width="11.42578125" style="44"/>
  </cols>
  <sheetData>
    <row r="2" spans="1:9" s="137" customFormat="1" x14ac:dyDescent="0.2">
      <c r="A2" s="181" t="s">
        <v>1298</v>
      </c>
      <c r="B2" s="181" t="s">
        <v>1112</v>
      </c>
      <c r="C2" s="181" t="s">
        <v>1377</v>
      </c>
      <c r="D2" s="181" t="s">
        <v>1378</v>
      </c>
      <c r="E2" s="181" t="s">
        <v>1130</v>
      </c>
      <c r="F2" s="181" t="s">
        <v>1135</v>
      </c>
      <c r="G2" s="181" t="s">
        <v>973</v>
      </c>
      <c r="H2" s="181" t="s">
        <v>1172</v>
      </c>
      <c r="I2" s="181" t="s">
        <v>1420</v>
      </c>
    </row>
    <row r="3" spans="1:9" x14ac:dyDescent="0.2">
      <c r="A3" s="172">
        <v>14203</v>
      </c>
      <c r="B3" s="172" t="s">
        <v>1059</v>
      </c>
      <c r="C3" s="173">
        <v>630.9485518376315</v>
      </c>
      <c r="D3" s="173">
        <v>1391.54</v>
      </c>
      <c r="E3" s="177">
        <v>1600</v>
      </c>
      <c r="F3" s="172" t="s">
        <v>1131</v>
      </c>
      <c r="G3" s="172" t="s">
        <v>1127</v>
      </c>
      <c r="H3" s="172" t="s">
        <v>1173</v>
      </c>
      <c r="I3" s="173">
        <f>C3/D3</f>
        <v>0.45341747404863064</v>
      </c>
    </row>
    <row r="4" spans="1:9" x14ac:dyDescent="0.2">
      <c r="A4" s="172">
        <v>14203</v>
      </c>
      <c r="B4" s="172" t="s">
        <v>1060</v>
      </c>
      <c r="C4" s="173">
        <v>499.73570616026302</v>
      </c>
      <c r="D4" s="173">
        <v>958.34</v>
      </c>
      <c r="E4" s="177">
        <v>2000</v>
      </c>
      <c r="F4" s="172" t="s">
        <v>1131</v>
      </c>
      <c r="G4" s="172" t="s">
        <v>1127</v>
      </c>
      <c r="H4" s="172" t="s">
        <v>1173</v>
      </c>
      <c r="I4" s="173">
        <f t="shared" ref="I4:I67" si="0">C4/D4</f>
        <v>0.52145971801267088</v>
      </c>
    </row>
    <row r="5" spans="1:9" x14ac:dyDescent="0.2">
      <c r="A5" s="172">
        <v>14203</v>
      </c>
      <c r="B5" s="172" t="s">
        <v>1061</v>
      </c>
      <c r="C5" s="173">
        <v>9.7819725726822657</v>
      </c>
      <c r="D5" s="173">
        <v>304.71800000000002</v>
      </c>
      <c r="E5" s="177">
        <v>1000</v>
      </c>
      <c r="F5" s="172" t="s">
        <v>1131</v>
      </c>
      <c r="G5" s="172" t="s">
        <v>1127</v>
      </c>
      <c r="H5" s="172" t="s">
        <v>1173</v>
      </c>
      <c r="I5" s="173">
        <f t="shared" si="0"/>
        <v>3.2101722158462138E-2</v>
      </c>
    </row>
    <row r="6" spans="1:9" x14ac:dyDescent="0.2">
      <c r="A6" s="172">
        <v>14203</v>
      </c>
      <c r="B6" s="172" t="s">
        <v>1062</v>
      </c>
      <c r="C6" s="173">
        <v>753.70225842076206</v>
      </c>
      <c r="D6" s="173">
        <v>2346.5500000000002</v>
      </c>
      <c r="E6" s="177">
        <v>2000</v>
      </c>
      <c r="F6" s="172" t="s">
        <v>1131</v>
      </c>
      <c r="G6" s="172" t="s">
        <v>1127</v>
      </c>
      <c r="H6" s="172" t="s">
        <v>1173</v>
      </c>
      <c r="I6" s="173">
        <f t="shared" si="0"/>
        <v>0.32119590821451149</v>
      </c>
    </row>
    <row r="7" spans="1:9" x14ac:dyDescent="0.2">
      <c r="A7" s="172">
        <v>14203</v>
      </c>
      <c r="B7" s="172" t="s">
        <v>1063</v>
      </c>
      <c r="C7" s="173">
        <v>299.19953400987413</v>
      </c>
      <c r="D7" s="173">
        <v>530.89</v>
      </c>
      <c r="E7" s="177">
        <f>1600+630</f>
        <v>2230</v>
      </c>
      <c r="F7" s="172" t="s">
        <v>1132</v>
      </c>
      <c r="G7" s="172" t="s">
        <v>1127</v>
      </c>
      <c r="H7" s="172" t="s">
        <v>1173</v>
      </c>
      <c r="I7" s="173">
        <f t="shared" si="0"/>
        <v>0.56358103187077202</v>
      </c>
    </row>
    <row r="8" spans="1:9" x14ac:dyDescent="0.2">
      <c r="A8" s="172">
        <v>14203</v>
      </c>
      <c r="B8" s="172" t="s">
        <v>1064</v>
      </c>
      <c r="C8" s="173">
        <v>318.42829127811297</v>
      </c>
      <c r="D8" s="173">
        <v>649.66</v>
      </c>
      <c r="E8" s="177">
        <v>1000</v>
      </c>
      <c r="F8" s="172" t="s">
        <v>1131</v>
      </c>
      <c r="G8" s="172" t="s">
        <v>1127</v>
      </c>
      <c r="H8" s="172" t="s">
        <v>1173</v>
      </c>
      <c r="I8" s="173">
        <f t="shared" si="0"/>
        <v>0.49014606298388846</v>
      </c>
    </row>
    <row r="9" spans="1:9" x14ac:dyDescent="0.2">
      <c r="A9" s="172">
        <v>14203</v>
      </c>
      <c r="B9" s="172" t="s">
        <v>1065</v>
      </c>
      <c r="C9" s="173">
        <v>92.157378520154467</v>
      </c>
      <c r="D9" s="173">
        <v>184.45</v>
      </c>
      <c r="E9" s="177">
        <v>225</v>
      </c>
      <c r="F9" s="172" t="s">
        <v>1131</v>
      </c>
      <c r="G9" s="172" t="s">
        <v>1127</v>
      </c>
      <c r="H9" s="172" t="s">
        <v>1173</v>
      </c>
      <c r="I9" s="173">
        <f t="shared" si="0"/>
        <v>0.49963338856142298</v>
      </c>
    </row>
    <row r="10" spans="1:9" x14ac:dyDescent="0.2">
      <c r="A10" s="172">
        <v>14203</v>
      </c>
      <c r="B10" s="172" t="s">
        <v>1066</v>
      </c>
      <c r="C10" s="173">
        <v>639.66096604086226</v>
      </c>
      <c r="D10" s="173">
        <v>1067.73</v>
      </c>
      <c r="E10" s="177">
        <v>2000</v>
      </c>
      <c r="F10" s="172" t="s">
        <v>1132</v>
      </c>
      <c r="G10" s="172" t="s">
        <v>1127</v>
      </c>
      <c r="H10" s="172" t="s">
        <v>1173</v>
      </c>
      <c r="I10" s="173">
        <f t="shared" si="0"/>
        <v>0.59908494286089387</v>
      </c>
    </row>
    <row r="11" spans="1:9" x14ac:dyDescent="0.2">
      <c r="A11" s="172">
        <v>14203</v>
      </c>
      <c r="B11" s="172" t="s">
        <v>1067</v>
      </c>
      <c r="C11" s="173">
        <v>227.06471093318757</v>
      </c>
      <c r="D11" s="173">
        <v>431.12</v>
      </c>
      <c r="E11" s="177">
        <v>1500</v>
      </c>
      <c r="F11" s="172" t="s">
        <v>1132</v>
      </c>
      <c r="G11" s="172" t="s">
        <v>1127</v>
      </c>
      <c r="H11" s="172" t="s">
        <v>1173</v>
      </c>
      <c r="I11" s="173">
        <f t="shared" si="0"/>
        <v>0.52668563493502407</v>
      </c>
    </row>
    <row r="12" spans="1:9" x14ac:dyDescent="0.2">
      <c r="A12" s="172">
        <v>14203</v>
      </c>
      <c r="B12" s="172" t="s">
        <v>1068</v>
      </c>
      <c r="C12" s="173">
        <v>168.32851463279934</v>
      </c>
      <c r="D12" s="173">
        <v>288.72000000000003</v>
      </c>
      <c r="E12" s="177">
        <v>1000</v>
      </c>
      <c r="F12" s="172" t="s">
        <v>1131</v>
      </c>
      <c r="G12" s="172" t="s">
        <v>1127</v>
      </c>
      <c r="H12" s="172" t="s">
        <v>1173</v>
      </c>
      <c r="I12" s="173">
        <f t="shared" si="0"/>
        <v>0.58301646797173501</v>
      </c>
    </row>
    <row r="13" spans="1:9" x14ac:dyDescent="0.2">
      <c r="A13" s="172">
        <v>14203</v>
      </c>
      <c r="B13" s="172" t="s">
        <v>1069</v>
      </c>
      <c r="C13" s="173">
        <v>10.402635765222016</v>
      </c>
      <c r="D13" s="173">
        <v>162.96</v>
      </c>
      <c r="E13" s="177">
        <v>1000</v>
      </c>
      <c r="F13" s="172" t="s">
        <v>1131</v>
      </c>
      <c r="G13" s="172" t="s">
        <v>1127</v>
      </c>
      <c r="H13" s="172" t="s">
        <v>1173</v>
      </c>
      <c r="I13" s="173">
        <f t="shared" si="0"/>
        <v>6.3835516477798324E-2</v>
      </c>
    </row>
    <row r="14" spans="1:9" x14ac:dyDescent="0.2">
      <c r="A14" s="172">
        <v>14203</v>
      </c>
      <c r="B14" s="172" t="s">
        <v>1070</v>
      </c>
      <c r="C14" s="173">
        <v>656.7300713110269</v>
      </c>
      <c r="D14" s="173">
        <v>1016.37</v>
      </c>
      <c r="E14" s="177">
        <f>1600+630</f>
        <v>2230</v>
      </c>
      <c r="F14" s="172" t="s">
        <v>1132</v>
      </c>
      <c r="G14" s="172" t="s">
        <v>1127</v>
      </c>
      <c r="H14" s="172" t="s">
        <v>1173</v>
      </c>
      <c r="I14" s="173">
        <f t="shared" si="0"/>
        <v>0.64615255400201388</v>
      </c>
    </row>
    <row r="15" spans="1:9" x14ac:dyDescent="0.2">
      <c r="A15" s="172">
        <v>14203</v>
      </c>
      <c r="B15" s="172" t="s">
        <v>1071</v>
      </c>
      <c r="C15" s="173">
        <v>73.72051588657331</v>
      </c>
      <c r="D15" s="173">
        <v>210.54</v>
      </c>
      <c r="E15" s="177">
        <v>400</v>
      </c>
      <c r="F15" s="172" t="s">
        <v>1131</v>
      </c>
      <c r="G15" s="172" t="s">
        <v>1127</v>
      </c>
      <c r="H15" s="172" t="s">
        <v>1173</v>
      </c>
      <c r="I15" s="173">
        <f t="shared" si="0"/>
        <v>0.35014969073132568</v>
      </c>
    </row>
    <row r="16" spans="1:9" x14ac:dyDescent="0.2">
      <c r="A16" s="172">
        <v>14203</v>
      </c>
      <c r="B16" s="172" t="s">
        <v>1072</v>
      </c>
      <c r="C16" s="173">
        <v>56.930916620651395</v>
      </c>
      <c r="D16" s="173">
        <v>220.05</v>
      </c>
      <c r="E16" s="177">
        <v>500</v>
      </c>
      <c r="F16" s="172" t="s">
        <v>1132</v>
      </c>
      <c r="G16" s="172" t="s">
        <v>1127</v>
      </c>
      <c r="H16" s="172" t="s">
        <v>1173</v>
      </c>
      <c r="I16" s="173">
        <f t="shared" si="0"/>
        <v>0.25871809416337826</v>
      </c>
    </row>
    <row r="17" spans="1:9" x14ac:dyDescent="0.2">
      <c r="A17" s="172">
        <v>14203</v>
      </c>
      <c r="B17" s="172" t="s">
        <v>1073</v>
      </c>
      <c r="C17" s="173">
        <v>138.46431253451124</v>
      </c>
      <c r="D17" s="173">
        <v>400.55</v>
      </c>
      <c r="E17" s="177">
        <v>1200</v>
      </c>
      <c r="F17" s="172" t="s">
        <v>1132</v>
      </c>
      <c r="G17" s="172" t="s">
        <v>1127</v>
      </c>
      <c r="H17" s="172" t="s">
        <v>1173</v>
      </c>
      <c r="I17" s="173">
        <f t="shared" si="0"/>
        <v>0.34568546382352072</v>
      </c>
    </row>
    <row r="18" spans="1:9" x14ac:dyDescent="0.2">
      <c r="A18" s="172">
        <v>14203</v>
      </c>
      <c r="B18" s="172" t="s">
        <v>1074</v>
      </c>
      <c r="C18" s="173">
        <v>2.9195053003533435</v>
      </c>
      <c r="D18" s="173">
        <v>10.68</v>
      </c>
      <c r="E18" s="177">
        <v>75</v>
      </c>
      <c r="F18" s="172" t="s">
        <v>1131</v>
      </c>
      <c r="G18" s="172" t="s">
        <v>1127</v>
      </c>
      <c r="H18" s="172" t="s">
        <v>1173</v>
      </c>
      <c r="I18" s="173">
        <f t="shared" si="0"/>
        <v>0.27336191950874006</v>
      </c>
    </row>
    <row r="19" spans="1:9" x14ac:dyDescent="0.2">
      <c r="A19" s="172">
        <v>14203</v>
      </c>
      <c r="B19" s="172" t="s">
        <v>1075</v>
      </c>
      <c r="C19" s="173">
        <v>317.89165612726316</v>
      </c>
      <c r="D19" s="173">
        <v>524.64</v>
      </c>
      <c r="E19" s="177">
        <v>1000</v>
      </c>
      <c r="F19" s="172" t="s">
        <v>1131</v>
      </c>
      <c r="G19" s="172" t="s">
        <v>1127</v>
      </c>
      <c r="H19" s="172" t="s">
        <v>1173</v>
      </c>
      <c r="I19" s="173">
        <f t="shared" si="0"/>
        <v>0.6059234067689524</v>
      </c>
    </row>
    <row r="20" spans="1:9" x14ac:dyDescent="0.2">
      <c r="A20" s="172">
        <v>14203</v>
      </c>
      <c r="B20" s="172" t="s">
        <v>1076</v>
      </c>
      <c r="C20" s="173">
        <v>65.624144119270923</v>
      </c>
      <c r="D20" s="173">
        <v>88.12</v>
      </c>
      <c r="E20" s="177">
        <v>630</v>
      </c>
      <c r="F20" s="172" t="s">
        <v>1131</v>
      </c>
      <c r="G20" s="172" t="s">
        <v>1127</v>
      </c>
      <c r="H20" s="172" t="s">
        <v>1173</v>
      </c>
      <c r="I20" s="173">
        <f t="shared" si="0"/>
        <v>0.74471339218419108</v>
      </c>
    </row>
    <row r="21" spans="1:9" x14ac:dyDescent="0.2">
      <c r="A21" s="172">
        <v>14203</v>
      </c>
      <c r="B21" s="172" t="s">
        <v>1077</v>
      </c>
      <c r="C21" s="173">
        <v>33.916417169500711</v>
      </c>
      <c r="D21" s="173">
        <v>230.56</v>
      </c>
      <c r="E21" s="177">
        <v>1000</v>
      </c>
      <c r="F21" s="172" t="s">
        <v>1132</v>
      </c>
      <c r="G21" s="172" t="s">
        <v>1127</v>
      </c>
      <c r="H21" s="172" t="s">
        <v>1173</v>
      </c>
      <c r="I21" s="173">
        <f t="shared" si="0"/>
        <v>0.14710451582885459</v>
      </c>
    </row>
    <row r="22" spans="1:9" x14ac:dyDescent="0.2">
      <c r="A22" s="172">
        <v>14201</v>
      </c>
      <c r="B22" s="172" t="s">
        <v>1078</v>
      </c>
      <c r="C22" s="173">
        <v>73.644271804717633</v>
      </c>
      <c r="D22" s="173">
        <v>211.035</v>
      </c>
      <c r="E22" s="177">
        <v>630</v>
      </c>
      <c r="F22" s="172" t="s">
        <v>1134</v>
      </c>
      <c r="G22" s="172" t="s">
        <v>1125</v>
      </c>
      <c r="H22" s="172" t="s">
        <v>1173</v>
      </c>
      <c r="I22" s="173">
        <f t="shared" si="0"/>
        <v>0.34896709931867997</v>
      </c>
    </row>
    <row r="23" spans="1:9" x14ac:dyDescent="0.2">
      <c r="A23" s="172">
        <v>14201</v>
      </c>
      <c r="B23" s="172" t="s">
        <v>1079</v>
      </c>
      <c r="C23" s="173">
        <v>2009.7605211190262</v>
      </c>
      <c r="D23" s="173">
        <v>2613.6</v>
      </c>
      <c r="E23" s="177">
        <v>2000</v>
      </c>
      <c r="F23" s="172" t="s">
        <v>1133</v>
      </c>
      <c r="G23" s="172" t="s">
        <v>1125</v>
      </c>
      <c r="H23" s="172" t="s">
        <v>1173</v>
      </c>
      <c r="I23" s="173">
        <f t="shared" si="0"/>
        <v>0.76896255016797754</v>
      </c>
    </row>
    <row r="24" spans="1:9" x14ac:dyDescent="0.2">
      <c r="A24" s="172">
        <v>14201</v>
      </c>
      <c r="B24" s="172" t="s">
        <v>1080</v>
      </c>
      <c r="C24" s="173">
        <v>435.98055494202117</v>
      </c>
      <c r="D24" s="173">
        <v>649.66</v>
      </c>
      <c r="E24" s="177">
        <v>800</v>
      </c>
      <c r="F24" s="172" t="s">
        <v>1134</v>
      </c>
      <c r="G24" s="172" t="s">
        <v>1125</v>
      </c>
      <c r="H24" s="172" t="s">
        <v>1173</v>
      </c>
      <c r="I24" s="173">
        <f t="shared" si="0"/>
        <v>0.67109034716932114</v>
      </c>
    </row>
    <row r="25" spans="1:9" x14ac:dyDescent="0.2">
      <c r="A25" s="172">
        <v>14201</v>
      </c>
      <c r="B25" s="172" t="s">
        <v>1081</v>
      </c>
      <c r="C25" s="173">
        <v>84.152207899067406</v>
      </c>
      <c r="D25" s="173">
        <v>233.14</v>
      </c>
      <c r="E25" s="177">
        <v>1000</v>
      </c>
      <c r="F25" s="172" t="s">
        <v>1133</v>
      </c>
      <c r="G25" s="172" t="s">
        <v>1125</v>
      </c>
      <c r="H25" s="172" t="s">
        <v>1173</v>
      </c>
      <c r="I25" s="173">
        <f t="shared" si="0"/>
        <v>0.3609513935792546</v>
      </c>
    </row>
    <row r="26" spans="1:9" x14ac:dyDescent="0.2">
      <c r="A26" s="172">
        <v>14201</v>
      </c>
      <c r="B26" s="172" t="s">
        <v>1082</v>
      </c>
      <c r="C26" s="173">
        <v>1417.1107109160707</v>
      </c>
      <c r="D26" s="173">
        <v>1952.64</v>
      </c>
      <c r="E26" s="177">
        <v>2000</v>
      </c>
      <c r="F26" s="172" t="s">
        <v>1133</v>
      </c>
      <c r="G26" s="172" t="s">
        <v>1125</v>
      </c>
      <c r="H26" s="172" t="s">
        <v>1173</v>
      </c>
      <c r="I26" s="173">
        <f t="shared" si="0"/>
        <v>0.72574089996930857</v>
      </c>
    </row>
    <row r="27" spans="1:9" x14ac:dyDescent="0.2">
      <c r="A27" s="172">
        <v>14201</v>
      </c>
      <c r="B27" s="172" t="s">
        <v>1083</v>
      </c>
      <c r="C27" s="173">
        <v>1093.9101961053223</v>
      </c>
      <c r="D27" s="173">
        <v>1621.07</v>
      </c>
      <c r="E27" s="177">
        <v>1600</v>
      </c>
      <c r="F27" s="172" t="s">
        <v>1133</v>
      </c>
      <c r="G27" s="172" t="s">
        <v>1125</v>
      </c>
      <c r="H27" s="172" t="s">
        <v>1173</v>
      </c>
      <c r="I27" s="173">
        <f t="shared" si="0"/>
        <v>0.67480750128330191</v>
      </c>
    </row>
    <row r="28" spans="1:9" x14ac:dyDescent="0.2">
      <c r="A28" s="172">
        <v>14201</v>
      </c>
      <c r="B28" s="172" t="s">
        <v>1084</v>
      </c>
      <c r="C28" s="173">
        <v>63.53203686305924</v>
      </c>
      <c r="D28" s="173">
        <v>760.32</v>
      </c>
      <c r="E28" s="177">
        <v>112.5</v>
      </c>
      <c r="F28" s="172" t="s">
        <v>1134</v>
      </c>
      <c r="G28" s="172" t="s">
        <v>1125</v>
      </c>
      <c r="H28" s="172" t="s">
        <v>1173</v>
      </c>
      <c r="I28" s="173">
        <f t="shared" si="0"/>
        <v>8.3559602355665036E-2</v>
      </c>
    </row>
    <row r="29" spans="1:9" x14ac:dyDescent="0.2">
      <c r="A29" s="172">
        <v>14201</v>
      </c>
      <c r="B29" s="172" t="s">
        <v>1085</v>
      </c>
      <c r="C29" s="173">
        <v>198.74404748757536</v>
      </c>
      <c r="D29" s="173">
        <v>553.34</v>
      </c>
      <c r="E29" s="177">
        <v>4000</v>
      </c>
      <c r="F29" s="172" t="s">
        <v>1134</v>
      </c>
      <c r="G29" s="172" t="s">
        <v>1125</v>
      </c>
      <c r="H29" s="172" t="s">
        <v>1173</v>
      </c>
      <c r="I29" s="173">
        <f t="shared" si="0"/>
        <v>0.35917166206595463</v>
      </c>
    </row>
    <row r="30" spans="1:9" x14ac:dyDescent="0.2">
      <c r="A30" s="172">
        <v>14201</v>
      </c>
      <c r="B30" s="172" t="s">
        <v>1086</v>
      </c>
      <c r="C30" s="173">
        <v>57.881407233572645</v>
      </c>
      <c r="D30" s="173">
        <v>188.88900000000001</v>
      </c>
      <c r="E30" s="177">
        <v>225</v>
      </c>
      <c r="F30" s="172" t="s">
        <v>1134</v>
      </c>
      <c r="G30" s="172" t="s">
        <v>1125</v>
      </c>
      <c r="H30" s="172" t="s">
        <v>1173</v>
      </c>
      <c r="I30" s="173">
        <f t="shared" si="0"/>
        <v>0.30643079921844385</v>
      </c>
    </row>
    <row r="31" spans="1:9" x14ac:dyDescent="0.2">
      <c r="A31" s="172">
        <v>14201</v>
      </c>
      <c r="B31" s="172" t="s">
        <v>1087</v>
      </c>
      <c r="C31" s="173">
        <v>32.290724737713994</v>
      </c>
      <c r="D31" s="173">
        <v>94.27</v>
      </c>
      <c r="E31" s="177">
        <v>630</v>
      </c>
      <c r="F31" s="172" t="s">
        <v>1133</v>
      </c>
      <c r="G31" s="172" t="s">
        <v>1125</v>
      </c>
      <c r="H31" s="172" t="s">
        <v>1173</v>
      </c>
      <c r="I31" s="173">
        <f t="shared" si="0"/>
        <v>0.34253447266059189</v>
      </c>
    </row>
    <row r="32" spans="1:9" x14ac:dyDescent="0.2">
      <c r="A32" s="172">
        <v>14201</v>
      </c>
      <c r="B32" s="172" t="s">
        <v>1088</v>
      </c>
      <c r="C32" s="173">
        <v>66.993011519473313</v>
      </c>
      <c r="D32" s="173">
        <v>280.54000000000002</v>
      </c>
      <c r="E32" s="177">
        <v>630</v>
      </c>
      <c r="F32" s="172" t="s">
        <v>1133</v>
      </c>
      <c r="G32" s="172" t="s">
        <v>1125</v>
      </c>
      <c r="H32" s="172" t="s">
        <v>1173</v>
      </c>
      <c r="I32" s="173">
        <f t="shared" si="0"/>
        <v>0.23880021216038108</v>
      </c>
    </row>
    <row r="33" spans="1:9" x14ac:dyDescent="0.2">
      <c r="A33" s="172">
        <v>13105</v>
      </c>
      <c r="B33" s="172" t="s">
        <v>1089</v>
      </c>
      <c r="C33" s="173">
        <v>48.787992821645481</v>
      </c>
      <c r="D33" s="173">
        <v>218.93</v>
      </c>
      <c r="E33" s="177">
        <v>400</v>
      </c>
      <c r="F33" s="172" t="s">
        <v>1102</v>
      </c>
      <c r="G33" s="172" t="s">
        <v>1128</v>
      </c>
      <c r="H33" s="172" t="s">
        <v>1173</v>
      </c>
      <c r="I33" s="173">
        <f t="shared" si="0"/>
        <v>0.22284745270929282</v>
      </c>
    </row>
    <row r="34" spans="1:9" x14ac:dyDescent="0.2">
      <c r="A34" s="172">
        <v>13105</v>
      </c>
      <c r="B34" s="172" t="s">
        <v>1090</v>
      </c>
      <c r="C34" s="173">
        <v>1467.3966228602958</v>
      </c>
      <c r="D34" s="173">
        <v>1941.45</v>
      </c>
      <c r="E34" s="177">
        <v>4000</v>
      </c>
      <c r="F34" s="172" t="s">
        <v>1102</v>
      </c>
      <c r="G34" s="172" t="s">
        <v>1128</v>
      </c>
      <c r="H34" s="172" t="s">
        <v>1173</v>
      </c>
      <c r="I34" s="173">
        <f t="shared" si="0"/>
        <v>0.75582509096824324</v>
      </c>
    </row>
    <row r="35" spans="1:9" x14ac:dyDescent="0.2">
      <c r="A35" s="172">
        <v>13105</v>
      </c>
      <c r="B35" s="172" t="s">
        <v>1091</v>
      </c>
      <c r="C35" s="173">
        <v>203.51001371365965</v>
      </c>
      <c r="D35" s="173">
        <v>461.11</v>
      </c>
      <c r="E35" s="177">
        <v>630</v>
      </c>
      <c r="F35" s="172" t="s">
        <v>1102</v>
      </c>
      <c r="G35" s="172" t="s">
        <v>1128</v>
      </c>
      <c r="H35" s="172" t="s">
        <v>1173</v>
      </c>
      <c r="I35" s="173">
        <f t="shared" si="0"/>
        <v>0.44134808118162616</v>
      </c>
    </row>
    <row r="36" spans="1:9" x14ac:dyDescent="0.2">
      <c r="A36" s="172">
        <v>13105</v>
      </c>
      <c r="B36" s="172" t="s">
        <v>1092</v>
      </c>
      <c r="C36" s="173">
        <v>511.12087438288387</v>
      </c>
      <c r="D36" s="173">
        <v>602.84299999999996</v>
      </c>
      <c r="E36" s="177">
        <v>1300</v>
      </c>
      <c r="F36" s="172" t="s">
        <v>1102</v>
      </c>
      <c r="G36" s="172" t="s">
        <v>1128</v>
      </c>
      <c r="H36" s="172" t="s">
        <v>1173</v>
      </c>
      <c r="I36" s="173">
        <f t="shared" si="0"/>
        <v>0.84785072462130917</v>
      </c>
    </row>
    <row r="37" spans="1:9" x14ac:dyDescent="0.2">
      <c r="A37" s="172">
        <v>13105</v>
      </c>
      <c r="B37" s="172" t="s">
        <v>1093</v>
      </c>
      <c r="C37" s="173">
        <v>154.3621103532638</v>
      </c>
      <c r="D37" s="173">
        <v>335.7</v>
      </c>
      <c r="E37" s="177">
        <v>1500</v>
      </c>
      <c r="F37" s="172" t="s">
        <v>1102</v>
      </c>
      <c r="G37" s="172" t="s">
        <v>1128</v>
      </c>
      <c r="H37" s="172" t="s">
        <v>1173</v>
      </c>
      <c r="I37" s="173">
        <f t="shared" si="0"/>
        <v>0.45982159771600778</v>
      </c>
    </row>
    <row r="38" spans="1:9" x14ac:dyDescent="0.2">
      <c r="A38" s="172">
        <v>13105</v>
      </c>
      <c r="B38" s="172" t="s">
        <v>1094</v>
      </c>
      <c r="C38" s="173">
        <v>52.351772501380353</v>
      </c>
      <c r="D38" s="173">
        <v>119.64</v>
      </c>
      <c r="E38" s="177">
        <v>500</v>
      </c>
      <c r="F38" s="172" t="s">
        <v>1102</v>
      </c>
      <c r="G38" s="172" t="s">
        <v>1128</v>
      </c>
      <c r="H38" s="172" t="s">
        <v>1173</v>
      </c>
      <c r="I38" s="173">
        <f t="shared" si="0"/>
        <v>0.43757750335490098</v>
      </c>
    </row>
    <row r="39" spans="1:9" x14ac:dyDescent="0.2">
      <c r="A39" s="172">
        <v>13105</v>
      </c>
      <c r="B39" s="172" t="s">
        <v>1095</v>
      </c>
      <c r="C39" s="173">
        <v>13.806168831168835</v>
      </c>
      <c r="D39" s="173">
        <v>28.24</v>
      </c>
      <c r="E39" s="177">
        <v>112.5</v>
      </c>
      <c r="F39" s="172" t="s">
        <v>1102</v>
      </c>
      <c r="G39" s="172" t="s">
        <v>1128</v>
      </c>
      <c r="H39" s="172" t="s">
        <v>1173</v>
      </c>
      <c r="I39" s="173">
        <f t="shared" si="0"/>
        <v>0.48888699827085114</v>
      </c>
    </row>
    <row r="40" spans="1:9" x14ac:dyDescent="0.2">
      <c r="A40" s="172">
        <v>13105</v>
      </c>
      <c r="B40" s="172" t="s">
        <v>1096</v>
      </c>
      <c r="C40" s="173">
        <v>2.9195053003533435</v>
      </c>
      <c r="D40" s="173">
        <v>10.68</v>
      </c>
      <c r="E40" s="177">
        <v>75</v>
      </c>
      <c r="F40" s="172" t="s">
        <v>1102</v>
      </c>
      <c r="G40" s="172" t="s">
        <v>1128</v>
      </c>
      <c r="H40" s="172" t="s">
        <v>1173</v>
      </c>
      <c r="I40" s="173">
        <f t="shared" si="0"/>
        <v>0.27336191950874006</v>
      </c>
    </row>
    <row r="41" spans="1:9" x14ac:dyDescent="0.2">
      <c r="A41" s="172">
        <v>13105</v>
      </c>
      <c r="B41" s="172" t="s">
        <v>1097</v>
      </c>
      <c r="C41" s="173">
        <v>95.794584476138027</v>
      </c>
      <c r="D41" s="173">
        <v>230.56</v>
      </c>
      <c r="E41" s="177">
        <v>630</v>
      </c>
      <c r="F41" s="172" t="s">
        <v>1102</v>
      </c>
      <c r="G41" s="172" t="s">
        <v>1128</v>
      </c>
      <c r="H41" s="172" t="s">
        <v>1173</v>
      </c>
      <c r="I41" s="173">
        <f t="shared" si="0"/>
        <v>0.41548657389025861</v>
      </c>
    </row>
    <row r="42" spans="1:9" x14ac:dyDescent="0.2">
      <c r="A42" s="172">
        <v>13105</v>
      </c>
      <c r="B42" s="172" t="s">
        <v>1098</v>
      </c>
      <c r="C42" s="173">
        <v>78.516816399778847</v>
      </c>
      <c r="D42" s="173">
        <v>400.976</v>
      </c>
      <c r="E42" s="177">
        <v>800</v>
      </c>
      <c r="F42" s="172" t="s">
        <v>1102</v>
      </c>
      <c r="G42" s="172" t="s">
        <v>1128</v>
      </c>
      <c r="H42" s="172" t="s">
        <v>1173</v>
      </c>
      <c r="I42" s="173">
        <f t="shared" si="0"/>
        <v>0.19581425421915238</v>
      </c>
    </row>
    <row r="43" spans="1:9" x14ac:dyDescent="0.2">
      <c r="A43" s="172">
        <v>13105</v>
      </c>
      <c r="B43" s="172" t="s">
        <v>1099</v>
      </c>
      <c r="C43" s="173">
        <v>5.9718366928596254</v>
      </c>
      <c r="D43" s="173">
        <v>34.71</v>
      </c>
      <c r="E43" s="177">
        <v>112.5</v>
      </c>
      <c r="F43" s="172" t="s">
        <v>1102</v>
      </c>
      <c r="G43" s="172" t="s">
        <v>1128</v>
      </c>
      <c r="H43" s="172" t="s">
        <v>1173</v>
      </c>
      <c r="I43" s="173">
        <f t="shared" si="0"/>
        <v>0.17204945816363079</v>
      </c>
    </row>
    <row r="44" spans="1:9" x14ac:dyDescent="0.2">
      <c r="A44" s="172">
        <v>13105</v>
      </c>
      <c r="B44" s="172" t="s">
        <v>1100</v>
      </c>
      <c r="C44" s="173">
        <v>183.67569116840264</v>
      </c>
      <c r="D44" s="173">
        <v>230.56</v>
      </c>
      <c r="E44" s="177">
        <v>250</v>
      </c>
      <c r="F44" s="172" t="s">
        <v>1102</v>
      </c>
      <c r="G44" s="172" t="s">
        <v>1128</v>
      </c>
      <c r="H44" s="172" t="s">
        <v>1173</v>
      </c>
      <c r="I44" s="173">
        <f t="shared" si="0"/>
        <v>0.79665029132721477</v>
      </c>
    </row>
    <row r="45" spans="1:9" x14ac:dyDescent="0.2">
      <c r="A45" s="172">
        <v>13105</v>
      </c>
      <c r="B45" s="172" t="s">
        <v>1101</v>
      </c>
      <c r="C45" s="173">
        <v>242.12121755935988</v>
      </c>
      <c r="D45" s="173">
        <v>524.13</v>
      </c>
      <c r="E45" s="177">
        <v>925</v>
      </c>
      <c r="F45" s="172" t="s">
        <v>1102</v>
      </c>
      <c r="G45" s="172" t="s">
        <v>1128</v>
      </c>
      <c r="H45" s="172" t="s">
        <v>1173</v>
      </c>
      <c r="I45" s="173">
        <f t="shared" si="0"/>
        <v>0.46194878667384021</v>
      </c>
    </row>
    <row r="46" spans="1:9" x14ac:dyDescent="0.2">
      <c r="A46" s="172">
        <v>14204</v>
      </c>
      <c r="B46" s="172" t="s">
        <v>1103</v>
      </c>
      <c r="C46" s="173">
        <v>240.84993705135315</v>
      </c>
      <c r="D46" s="173">
        <v>416.03</v>
      </c>
      <c r="E46" s="177">
        <v>1825</v>
      </c>
      <c r="F46" s="172" t="s">
        <v>1111</v>
      </c>
      <c r="G46" s="172" t="s">
        <v>1126</v>
      </c>
      <c r="H46" s="172" t="s">
        <v>1173</v>
      </c>
      <c r="I46" s="173">
        <f t="shared" si="0"/>
        <v>0.5789244454759348</v>
      </c>
    </row>
    <row r="47" spans="1:9" x14ac:dyDescent="0.2">
      <c r="A47" s="172">
        <v>14204</v>
      </c>
      <c r="B47" s="172" t="s">
        <v>1104</v>
      </c>
      <c r="C47" s="173">
        <v>431.45849530645978</v>
      </c>
      <c r="D47" s="173">
        <v>801.31</v>
      </c>
      <c r="E47" s="177">
        <v>1250</v>
      </c>
      <c r="F47" s="172" t="s">
        <v>1111</v>
      </c>
      <c r="G47" s="172" t="s">
        <v>1126</v>
      </c>
      <c r="H47" s="172" t="s">
        <v>1173</v>
      </c>
      <c r="I47" s="173">
        <f t="shared" si="0"/>
        <v>0.53844142130568673</v>
      </c>
    </row>
    <row r="48" spans="1:9" x14ac:dyDescent="0.2">
      <c r="A48" s="172">
        <v>14204</v>
      </c>
      <c r="B48" s="172" t="s">
        <v>1105</v>
      </c>
      <c r="C48" s="173">
        <v>8.279400883489739</v>
      </c>
      <c r="D48" s="173">
        <v>100.09</v>
      </c>
      <c r="E48" s="177">
        <v>225</v>
      </c>
      <c r="F48" s="172" t="s">
        <v>1111</v>
      </c>
      <c r="G48" s="172" t="s">
        <v>1126</v>
      </c>
      <c r="H48" s="172" t="s">
        <v>1173</v>
      </c>
      <c r="I48" s="173">
        <f t="shared" si="0"/>
        <v>8.2719561229790572E-2</v>
      </c>
    </row>
    <row r="49" spans="1:9" x14ac:dyDescent="0.2">
      <c r="A49" s="172">
        <v>14204</v>
      </c>
      <c r="B49" s="172" t="s">
        <v>1106</v>
      </c>
      <c r="C49" s="173">
        <v>134.46577581446709</v>
      </c>
      <c r="D49" s="173">
        <v>877.44</v>
      </c>
      <c r="E49" s="177">
        <v>630</v>
      </c>
      <c r="F49" s="172" t="s">
        <v>1111</v>
      </c>
      <c r="G49" s="172" t="s">
        <v>1126</v>
      </c>
      <c r="H49" s="172" t="s">
        <v>1173</v>
      </c>
      <c r="I49" s="173">
        <f t="shared" si="0"/>
        <v>0.15324782983960963</v>
      </c>
    </row>
    <row r="50" spans="1:9" x14ac:dyDescent="0.2">
      <c r="A50" s="172">
        <v>14204</v>
      </c>
      <c r="B50" s="172" t="s">
        <v>1107</v>
      </c>
      <c r="C50" s="173">
        <v>532.39125345113166</v>
      </c>
      <c r="D50" s="173">
        <v>682.45</v>
      </c>
      <c r="E50" s="177">
        <v>1000</v>
      </c>
      <c r="F50" s="172" t="s">
        <v>1111</v>
      </c>
      <c r="G50" s="172" t="s">
        <v>1126</v>
      </c>
      <c r="H50" s="172" t="s">
        <v>1173</v>
      </c>
      <c r="I50" s="173">
        <f t="shared" si="0"/>
        <v>0.78011759608928366</v>
      </c>
    </row>
    <row r="51" spans="1:9" x14ac:dyDescent="0.2">
      <c r="A51" s="172">
        <v>14204</v>
      </c>
      <c r="B51" s="172" t="s">
        <v>1099</v>
      </c>
      <c r="C51" s="173">
        <v>4.7938913563375376</v>
      </c>
      <c r="D51" s="173">
        <v>28.9</v>
      </c>
      <c r="E51" s="177"/>
      <c r="F51" s="172" t="s">
        <v>1111</v>
      </c>
      <c r="G51" s="172" t="s">
        <v>1126</v>
      </c>
      <c r="H51" s="172" t="s">
        <v>1173</v>
      </c>
      <c r="I51" s="173">
        <f t="shared" si="0"/>
        <v>0.16587859364489752</v>
      </c>
    </row>
    <row r="52" spans="1:9" x14ac:dyDescent="0.2">
      <c r="A52" s="172">
        <v>14204</v>
      </c>
      <c r="B52" s="172" t="s">
        <v>1108</v>
      </c>
      <c r="C52" s="173">
        <v>304.90636692435072</v>
      </c>
      <c r="D52" s="173">
        <v>608.78300000000002</v>
      </c>
      <c r="E52" s="177">
        <v>1600</v>
      </c>
      <c r="F52" s="172" t="s">
        <v>1111</v>
      </c>
      <c r="G52" s="172" t="s">
        <v>1126</v>
      </c>
      <c r="H52" s="172" t="s">
        <v>1173</v>
      </c>
      <c r="I52" s="173">
        <f t="shared" si="0"/>
        <v>0.50084573144182853</v>
      </c>
    </row>
    <row r="53" spans="1:9" x14ac:dyDescent="0.2">
      <c r="A53" s="172">
        <v>14204</v>
      </c>
      <c r="B53" s="172" t="s">
        <v>1109</v>
      </c>
      <c r="C53" s="173">
        <v>1309.4212726275389</v>
      </c>
      <c r="D53" s="173">
        <v>2155.06</v>
      </c>
      <c r="E53" s="177">
        <v>4000</v>
      </c>
      <c r="F53" s="172" t="s">
        <v>1111</v>
      </c>
      <c r="G53" s="172" t="s">
        <v>1126</v>
      </c>
      <c r="H53" s="172" t="s">
        <v>1173</v>
      </c>
      <c r="I53" s="173">
        <f t="shared" si="0"/>
        <v>0.60760316308016427</v>
      </c>
    </row>
    <row r="54" spans="1:9" x14ac:dyDescent="0.2">
      <c r="A54" s="172">
        <v>14204</v>
      </c>
      <c r="B54" s="172" t="s">
        <v>1110</v>
      </c>
      <c r="C54" s="173">
        <v>41.015939605190397</v>
      </c>
      <c r="D54" s="173">
        <v>160.81312500000001</v>
      </c>
      <c r="E54" s="177">
        <v>400</v>
      </c>
      <c r="F54" s="172" t="s">
        <v>1111</v>
      </c>
      <c r="G54" s="172" t="s">
        <v>1126</v>
      </c>
      <c r="H54" s="172" t="s">
        <v>1173</v>
      </c>
      <c r="I54" s="173">
        <f t="shared" si="0"/>
        <v>0.25505343301543576</v>
      </c>
    </row>
    <row r="55" spans="1:9" x14ac:dyDescent="0.2">
      <c r="A55" s="172">
        <v>13102</v>
      </c>
      <c r="B55" s="172" t="s">
        <v>1113</v>
      </c>
      <c r="C55" s="173">
        <v>52.778464070213893</v>
      </c>
      <c r="D55" s="173">
        <v>101.38</v>
      </c>
      <c r="E55" s="177">
        <v>500</v>
      </c>
      <c r="F55" s="172" t="s">
        <v>1117</v>
      </c>
      <c r="G55" s="172" t="s">
        <v>1117</v>
      </c>
      <c r="H55" s="172" t="s">
        <v>1173</v>
      </c>
      <c r="I55" s="173">
        <f t="shared" si="0"/>
        <v>0.52060035579220654</v>
      </c>
    </row>
    <row r="56" spans="1:9" x14ac:dyDescent="0.2">
      <c r="A56" s="172">
        <v>13102</v>
      </c>
      <c r="B56" s="172" t="s">
        <v>1114</v>
      </c>
      <c r="C56" s="172">
        <v>719.94834897846374</v>
      </c>
      <c r="D56" s="172">
        <v>1025.6400000000001</v>
      </c>
      <c r="E56" s="177">
        <v>2000</v>
      </c>
      <c r="F56" s="172" t="s">
        <v>1117</v>
      </c>
      <c r="G56" s="172" t="s">
        <v>1117</v>
      </c>
      <c r="H56" s="172" t="s">
        <v>1173</v>
      </c>
      <c r="I56" s="173">
        <f t="shared" si="0"/>
        <v>0.70195034220434427</v>
      </c>
    </row>
    <row r="57" spans="1:9" x14ac:dyDescent="0.2">
      <c r="A57" s="172">
        <v>13102</v>
      </c>
      <c r="B57" s="172" t="s">
        <v>1115</v>
      </c>
      <c r="C57" s="172">
        <v>97.962482054113991</v>
      </c>
      <c r="D57" s="172">
        <v>289.67</v>
      </c>
      <c r="E57" s="177">
        <v>400</v>
      </c>
      <c r="F57" s="172" t="s">
        <v>1117</v>
      </c>
      <c r="G57" s="172" t="s">
        <v>1117</v>
      </c>
      <c r="H57" s="172" t="s">
        <v>1173</v>
      </c>
      <c r="I57" s="173">
        <f t="shared" si="0"/>
        <v>0.33818649516385535</v>
      </c>
    </row>
    <row r="58" spans="1:9" x14ac:dyDescent="0.2">
      <c r="A58" s="172">
        <v>13102</v>
      </c>
      <c r="B58" s="172" t="s">
        <v>1116</v>
      </c>
      <c r="C58" s="172">
        <v>161.51079945336534</v>
      </c>
      <c r="D58" s="172">
        <v>374.18</v>
      </c>
      <c r="E58" s="177">
        <v>630</v>
      </c>
      <c r="F58" s="172" t="s">
        <v>1117</v>
      </c>
      <c r="G58" s="172" t="s">
        <v>1117</v>
      </c>
      <c r="H58" s="172" t="s">
        <v>1173</v>
      </c>
      <c r="I58" s="173">
        <f t="shared" si="0"/>
        <v>0.43163931651441911</v>
      </c>
    </row>
    <row r="59" spans="1:9" x14ac:dyDescent="0.2">
      <c r="A59" s="172">
        <v>14204</v>
      </c>
      <c r="B59" s="172" t="s">
        <v>1118</v>
      </c>
      <c r="C59" s="172">
        <v>395.11577029265567</v>
      </c>
      <c r="D59" s="172">
        <v>852</v>
      </c>
      <c r="E59" s="177">
        <v>2000</v>
      </c>
      <c r="F59" s="172" t="s">
        <v>1111</v>
      </c>
      <c r="G59" s="172" t="s">
        <v>1126</v>
      </c>
      <c r="H59" s="172" t="s">
        <v>1173</v>
      </c>
      <c r="I59" s="173">
        <f t="shared" si="0"/>
        <v>0.46375090409936109</v>
      </c>
    </row>
    <row r="60" spans="1:9" x14ac:dyDescent="0.2">
      <c r="A60" s="172">
        <v>13101</v>
      </c>
      <c r="B60" s="172" t="s">
        <v>1119</v>
      </c>
      <c r="C60" s="172">
        <v>258.4294996963003</v>
      </c>
      <c r="D60" s="172">
        <v>1267.4000000000001</v>
      </c>
      <c r="E60" s="177">
        <v>3000</v>
      </c>
      <c r="F60" s="172" t="s">
        <v>1124</v>
      </c>
      <c r="G60" s="172" t="s">
        <v>1124</v>
      </c>
      <c r="H60" s="172" t="s">
        <v>1173</v>
      </c>
      <c r="I60" s="173">
        <f t="shared" si="0"/>
        <v>0.20390523883249193</v>
      </c>
    </row>
    <row r="61" spans="1:9" x14ac:dyDescent="0.2">
      <c r="A61" s="172">
        <v>13101</v>
      </c>
      <c r="B61" s="172" t="s">
        <v>1120</v>
      </c>
      <c r="C61" s="172">
        <v>1153.2183186085031</v>
      </c>
      <c r="D61" s="172">
        <v>2069.8200000000002</v>
      </c>
      <c r="E61" s="177">
        <v>2000</v>
      </c>
      <c r="F61" s="172" t="s">
        <v>1124</v>
      </c>
      <c r="G61" s="172" t="s">
        <v>1124</v>
      </c>
      <c r="H61" s="172" t="s">
        <v>1173</v>
      </c>
      <c r="I61" s="173">
        <f t="shared" si="0"/>
        <v>0.55715874743142058</v>
      </c>
    </row>
    <row r="62" spans="1:9" x14ac:dyDescent="0.2">
      <c r="A62" s="172">
        <v>13101</v>
      </c>
      <c r="B62" s="172" t="s">
        <v>1121</v>
      </c>
      <c r="C62" s="172">
        <v>2.7462948647156931</v>
      </c>
      <c r="D62" s="172">
        <v>18.68</v>
      </c>
      <c r="E62" s="177">
        <v>300</v>
      </c>
      <c r="F62" s="172" t="s">
        <v>1124</v>
      </c>
      <c r="G62" s="172" t="s">
        <v>1124</v>
      </c>
      <c r="H62" s="172" t="s">
        <v>1173</v>
      </c>
      <c r="I62" s="173">
        <f t="shared" si="0"/>
        <v>0.1470179263766431</v>
      </c>
    </row>
    <row r="63" spans="1:9" x14ac:dyDescent="0.2">
      <c r="A63" s="172">
        <v>13101</v>
      </c>
      <c r="B63" s="172" t="s">
        <v>1122</v>
      </c>
      <c r="C63" s="172">
        <v>57.458557289358069</v>
      </c>
      <c r="D63" s="172">
        <v>484.9</v>
      </c>
      <c r="E63" s="177">
        <v>400</v>
      </c>
      <c r="F63" s="172" t="s">
        <v>1124</v>
      </c>
      <c r="G63" s="172" t="s">
        <v>1124</v>
      </c>
      <c r="H63" s="172" t="s">
        <v>1173</v>
      </c>
      <c r="I63" s="173">
        <f t="shared" si="0"/>
        <v>0.11849568424285022</v>
      </c>
    </row>
    <row r="64" spans="1:9" x14ac:dyDescent="0.2">
      <c r="A64" s="172">
        <v>13101</v>
      </c>
      <c r="B64" s="172" t="s">
        <v>1123</v>
      </c>
      <c r="C64" s="172">
        <v>99.156737195008091</v>
      </c>
      <c r="D64" s="172">
        <v>209.94</v>
      </c>
      <c r="E64" s="177">
        <v>1600</v>
      </c>
      <c r="F64" s="172" t="s">
        <v>1124</v>
      </c>
      <c r="G64" s="172" t="s">
        <v>1124</v>
      </c>
      <c r="H64" s="172" t="s">
        <v>1173</v>
      </c>
      <c r="I64" s="173">
        <f t="shared" si="0"/>
        <v>0.47230988470519242</v>
      </c>
    </row>
    <row r="65" spans="1:9" x14ac:dyDescent="0.2">
      <c r="A65" s="178">
        <v>14201</v>
      </c>
      <c r="B65" s="178" t="s">
        <v>1136</v>
      </c>
      <c r="C65" s="178">
        <f>E65*0.25</f>
        <v>7.5</v>
      </c>
      <c r="D65" s="179">
        <f>E65*0.5*0.9</f>
        <v>13.5</v>
      </c>
      <c r="E65" s="180">
        <v>30</v>
      </c>
      <c r="F65" s="178" t="s">
        <v>1133</v>
      </c>
      <c r="G65" s="178" t="s">
        <v>1125</v>
      </c>
      <c r="H65" s="178" t="s">
        <v>1173</v>
      </c>
      <c r="I65" s="179">
        <f t="shared" si="0"/>
        <v>0.55555555555555558</v>
      </c>
    </row>
    <row r="66" spans="1:9" x14ac:dyDescent="0.2">
      <c r="A66" s="178">
        <v>14201</v>
      </c>
      <c r="B66" s="178" t="s">
        <v>1137</v>
      </c>
      <c r="C66" s="178">
        <f t="shared" ref="C66:C100" si="1">E66*0.25</f>
        <v>250</v>
      </c>
      <c r="D66" s="179">
        <f t="shared" ref="D66:D100" si="2">E66*0.5*0.9</f>
        <v>450</v>
      </c>
      <c r="E66" s="180">
        <v>1000</v>
      </c>
      <c r="F66" s="178" t="s">
        <v>1133</v>
      </c>
      <c r="G66" s="178" t="s">
        <v>1125</v>
      </c>
      <c r="H66" s="178" t="s">
        <v>1173</v>
      </c>
      <c r="I66" s="179">
        <f t="shared" si="0"/>
        <v>0.55555555555555558</v>
      </c>
    </row>
    <row r="67" spans="1:9" x14ac:dyDescent="0.2">
      <c r="A67" s="178">
        <v>14201</v>
      </c>
      <c r="B67" s="178" t="s">
        <v>1138</v>
      </c>
      <c r="C67" s="178">
        <f t="shared" si="1"/>
        <v>125</v>
      </c>
      <c r="D67" s="179">
        <f t="shared" si="2"/>
        <v>225</v>
      </c>
      <c r="E67" s="180">
        <v>500</v>
      </c>
      <c r="F67" s="178" t="s">
        <v>1133</v>
      </c>
      <c r="G67" s="178" t="s">
        <v>1125</v>
      </c>
      <c r="H67" s="178" t="s">
        <v>1173</v>
      </c>
      <c r="I67" s="179">
        <f t="shared" si="0"/>
        <v>0.55555555555555558</v>
      </c>
    </row>
    <row r="68" spans="1:9" x14ac:dyDescent="0.2">
      <c r="A68" s="178">
        <v>14201</v>
      </c>
      <c r="B68" s="178" t="s">
        <v>1139</v>
      </c>
      <c r="C68" s="178">
        <f t="shared" si="1"/>
        <v>11.25</v>
      </c>
      <c r="D68" s="179">
        <f t="shared" si="2"/>
        <v>20.25</v>
      </c>
      <c r="E68" s="180">
        <v>45</v>
      </c>
      <c r="F68" s="178" t="s">
        <v>1134</v>
      </c>
      <c r="G68" s="178" t="s">
        <v>1125</v>
      </c>
      <c r="H68" s="178" t="s">
        <v>1173</v>
      </c>
      <c r="I68" s="179">
        <f t="shared" ref="I68:I100" si="3">C68/D68</f>
        <v>0.55555555555555558</v>
      </c>
    </row>
    <row r="69" spans="1:9" x14ac:dyDescent="0.2">
      <c r="A69" s="178">
        <v>14201</v>
      </c>
      <c r="B69" s="178" t="s">
        <v>1140</v>
      </c>
      <c r="C69" s="178">
        <f t="shared" si="1"/>
        <v>3.75</v>
      </c>
      <c r="D69" s="179">
        <f t="shared" si="2"/>
        <v>6.75</v>
      </c>
      <c r="E69" s="180">
        <v>15</v>
      </c>
      <c r="F69" s="178" t="s">
        <v>1134</v>
      </c>
      <c r="G69" s="178" t="s">
        <v>1125</v>
      </c>
      <c r="H69" s="178" t="s">
        <v>1173</v>
      </c>
      <c r="I69" s="179">
        <f t="shared" si="3"/>
        <v>0.55555555555555558</v>
      </c>
    </row>
    <row r="70" spans="1:9" x14ac:dyDescent="0.2">
      <c r="A70" s="178">
        <v>14201</v>
      </c>
      <c r="B70" s="178" t="s">
        <v>1141</v>
      </c>
      <c r="C70" s="178">
        <f t="shared" si="1"/>
        <v>157.5</v>
      </c>
      <c r="D70" s="179">
        <f t="shared" si="2"/>
        <v>283.5</v>
      </c>
      <c r="E70" s="180">
        <v>630</v>
      </c>
      <c r="F70" s="178" t="s">
        <v>1134</v>
      </c>
      <c r="G70" s="178" t="s">
        <v>1125</v>
      </c>
      <c r="H70" s="178" t="s">
        <v>1173</v>
      </c>
      <c r="I70" s="179">
        <f t="shared" si="3"/>
        <v>0.55555555555555558</v>
      </c>
    </row>
    <row r="71" spans="1:9" x14ac:dyDescent="0.2">
      <c r="A71" s="178">
        <v>14201</v>
      </c>
      <c r="B71" s="178" t="s">
        <v>1168</v>
      </c>
      <c r="C71" s="178">
        <f t="shared" si="1"/>
        <v>28.125</v>
      </c>
      <c r="D71" s="179">
        <f t="shared" si="2"/>
        <v>50.625</v>
      </c>
      <c r="E71" s="180">
        <v>112.5</v>
      </c>
      <c r="F71" s="178" t="s">
        <v>1134</v>
      </c>
      <c r="G71" s="178" t="s">
        <v>1125</v>
      </c>
      <c r="H71" s="178" t="s">
        <v>1173</v>
      </c>
      <c r="I71" s="179">
        <f t="shared" si="3"/>
        <v>0.55555555555555558</v>
      </c>
    </row>
    <row r="72" spans="1:9" x14ac:dyDescent="0.2">
      <c r="A72" s="178">
        <v>14201</v>
      </c>
      <c r="B72" s="178" t="s">
        <v>1142</v>
      </c>
      <c r="C72" s="178">
        <f t="shared" si="1"/>
        <v>56.25</v>
      </c>
      <c r="D72" s="179">
        <f t="shared" si="2"/>
        <v>101.25</v>
      </c>
      <c r="E72" s="180">
        <v>225</v>
      </c>
      <c r="F72" s="178" t="s">
        <v>1134</v>
      </c>
      <c r="G72" s="178" t="s">
        <v>1125</v>
      </c>
      <c r="H72" s="178" t="s">
        <v>1173</v>
      </c>
      <c r="I72" s="179">
        <f t="shared" si="3"/>
        <v>0.55555555555555558</v>
      </c>
    </row>
    <row r="73" spans="1:9" x14ac:dyDescent="0.2">
      <c r="A73" s="178">
        <v>14201</v>
      </c>
      <c r="B73" s="178" t="s">
        <v>1143</v>
      </c>
      <c r="C73" s="178">
        <f t="shared" si="1"/>
        <v>18.75</v>
      </c>
      <c r="D73" s="179">
        <f t="shared" si="2"/>
        <v>33.75</v>
      </c>
      <c r="E73" s="180">
        <v>75</v>
      </c>
      <c r="F73" s="178" t="s">
        <v>1134</v>
      </c>
      <c r="G73" s="178" t="s">
        <v>1125</v>
      </c>
      <c r="H73" s="178" t="s">
        <v>1173</v>
      </c>
      <c r="I73" s="179">
        <f t="shared" si="3"/>
        <v>0.55555555555555558</v>
      </c>
    </row>
    <row r="74" spans="1:9" x14ac:dyDescent="0.2">
      <c r="A74" s="178">
        <v>14201</v>
      </c>
      <c r="B74" s="178" t="s">
        <v>1144</v>
      </c>
      <c r="C74" s="178">
        <f t="shared" si="1"/>
        <v>28.125</v>
      </c>
      <c r="D74" s="179">
        <f t="shared" si="2"/>
        <v>50.625</v>
      </c>
      <c r="E74" s="180">
        <v>112.5</v>
      </c>
      <c r="F74" s="178" t="s">
        <v>1134</v>
      </c>
      <c r="G74" s="178" t="s">
        <v>1125</v>
      </c>
      <c r="H74" s="178" t="s">
        <v>1173</v>
      </c>
      <c r="I74" s="179">
        <f t="shared" si="3"/>
        <v>0.55555555555555558</v>
      </c>
    </row>
    <row r="75" spans="1:9" x14ac:dyDescent="0.2">
      <c r="A75" s="178">
        <v>14201</v>
      </c>
      <c r="B75" s="178" t="s">
        <v>1145</v>
      </c>
      <c r="C75" s="178">
        <f t="shared" si="1"/>
        <v>100</v>
      </c>
      <c r="D75" s="179">
        <f t="shared" si="2"/>
        <v>180</v>
      </c>
      <c r="E75" s="180">
        <v>400</v>
      </c>
      <c r="F75" s="178" t="s">
        <v>1134</v>
      </c>
      <c r="G75" s="178" t="s">
        <v>1125</v>
      </c>
      <c r="H75" s="178" t="s">
        <v>1173</v>
      </c>
      <c r="I75" s="179">
        <f t="shared" si="3"/>
        <v>0.55555555555555558</v>
      </c>
    </row>
    <row r="76" spans="1:9" x14ac:dyDescent="0.2">
      <c r="A76" s="178">
        <v>14201</v>
      </c>
      <c r="B76" s="178" t="s">
        <v>1146</v>
      </c>
      <c r="C76" s="178">
        <f t="shared" si="1"/>
        <v>7.5</v>
      </c>
      <c r="D76" s="179">
        <f t="shared" si="2"/>
        <v>13.5</v>
      </c>
      <c r="E76" s="180">
        <v>30</v>
      </c>
      <c r="F76" s="178" t="s">
        <v>1134</v>
      </c>
      <c r="G76" s="178" t="s">
        <v>1125</v>
      </c>
      <c r="H76" s="178" t="s">
        <v>1173</v>
      </c>
      <c r="I76" s="179">
        <f t="shared" si="3"/>
        <v>0.55555555555555558</v>
      </c>
    </row>
    <row r="77" spans="1:9" x14ac:dyDescent="0.2">
      <c r="A77" s="178">
        <v>14204</v>
      </c>
      <c r="B77" s="178" t="s">
        <v>1147</v>
      </c>
      <c r="C77" s="178">
        <f t="shared" si="1"/>
        <v>100</v>
      </c>
      <c r="D77" s="179">
        <f t="shared" si="2"/>
        <v>180</v>
      </c>
      <c r="E77" s="180">
        <v>400</v>
      </c>
      <c r="F77" s="178" t="s">
        <v>1167</v>
      </c>
      <c r="G77" s="178" t="s">
        <v>1126</v>
      </c>
      <c r="H77" s="178" t="s">
        <v>1173</v>
      </c>
      <c r="I77" s="179">
        <f t="shared" si="3"/>
        <v>0.55555555555555558</v>
      </c>
    </row>
    <row r="78" spans="1:9" x14ac:dyDescent="0.2">
      <c r="A78" s="178">
        <v>14204</v>
      </c>
      <c r="B78" s="178" t="s">
        <v>1148</v>
      </c>
      <c r="C78" s="178">
        <f t="shared" si="1"/>
        <v>18.75</v>
      </c>
      <c r="D78" s="179">
        <f t="shared" si="2"/>
        <v>33.75</v>
      </c>
      <c r="E78" s="180">
        <v>75</v>
      </c>
      <c r="F78" s="178" t="s">
        <v>1167</v>
      </c>
      <c r="G78" s="178" t="s">
        <v>1126</v>
      </c>
      <c r="H78" s="178" t="s">
        <v>1173</v>
      </c>
      <c r="I78" s="179">
        <f t="shared" si="3"/>
        <v>0.55555555555555558</v>
      </c>
    </row>
    <row r="79" spans="1:9" x14ac:dyDescent="0.2">
      <c r="A79" s="178">
        <v>14204</v>
      </c>
      <c r="B79" s="178" t="s">
        <v>1170</v>
      </c>
      <c r="C79" s="178">
        <f t="shared" si="1"/>
        <v>500</v>
      </c>
      <c r="D79" s="179">
        <f t="shared" si="2"/>
        <v>900</v>
      </c>
      <c r="E79" s="180">
        <v>2000</v>
      </c>
      <c r="F79" s="178" t="s">
        <v>1167</v>
      </c>
      <c r="G79" s="178" t="s">
        <v>1126</v>
      </c>
      <c r="H79" s="178" t="s">
        <v>1173</v>
      </c>
      <c r="I79" s="179">
        <f t="shared" si="3"/>
        <v>0.55555555555555558</v>
      </c>
    </row>
    <row r="80" spans="1:9" x14ac:dyDescent="0.2">
      <c r="A80" s="178">
        <v>14203</v>
      </c>
      <c r="B80" s="178" t="s">
        <v>1149</v>
      </c>
      <c r="C80" s="178">
        <f t="shared" si="1"/>
        <v>18.75</v>
      </c>
      <c r="D80" s="179">
        <f t="shared" si="2"/>
        <v>33.75</v>
      </c>
      <c r="E80" s="180">
        <v>75</v>
      </c>
      <c r="F80" s="178" t="s">
        <v>1131</v>
      </c>
      <c r="G80" s="178" t="s">
        <v>1127</v>
      </c>
      <c r="H80" s="178" t="s">
        <v>1173</v>
      </c>
      <c r="I80" s="179">
        <f t="shared" si="3"/>
        <v>0.55555555555555558</v>
      </c>
    </row>
    <row r="81" spans="1:9" x14ac:dyDescent="0.2">
      <c r="A81" s="178">
        <v>14203</v>
      </c>
      <c r="B81" s="178" t="s">
        <v>1169</v>
      </c>
      <c r="C81" s="178">
        <f t="shared" si="1"/>
        <v>18.75</v>
      </c>
      <c r="D81" s="179">
        <f t="shared" si="2"/>
        <v>33.75</v>
      </c>
      <c r="E81" s="180">
        <v>75</v>
      </c>
      <c r="F81" s="178" t="s">
        <v>1131</v>
      </c>
      <c r="G81" s="178" t="s">
        <v>1127</v>
      </c>
      <c r="H81" s="178" t="s">
        <v>1173</v>
      </c>
      <c r="I81" s="179">
        <f t="shared" si="3"/>
        <v>0.55555555555555558</v>
      </c>
    </row>
    <row r="82" spans="1:9" x14ac:dyDescent="0.2">
      <c r="A82" s="178">
        <v>14203</v>
      </c>
      <c r="B82" s="178" t="s">
        <v>1150</v>
      </c>
      <c r="C82" s="178">
        <f t="shared" si="1"/>
        <v>18.75</v>
      </c>
      <c r="D82" s="179">
        <f t="shared" si="2"/>
        <v>33.75</v>
      </c>
      <c r="E82" s="180">
        <v>75</v>
      </c>
      <c r="F82" s="178" t="s">
        <v>1131</v>
      </c>
      <c r="G82" s="178" t="s">
        <v>1127</v>
      </c>
      <c r="H82" s="178" t="s">
        <v>1173</v>
      </c>
      <c r="I82" s="179">
        <f t="shared" si="3"/>
        <v>0.55555555555555558</v>
      </c>
    </row>
    <row r="83" spans="1:9" x14ac:dyDescent="0.2">
      <c r="A83" s="178">
        <v>14203</v>
      </c>
      <c r="B83" s="178" t="s">
        <v>1151</v>
      </c>
      <c r="C83" s="178">
        <f t="shared" si="1"/>
        <v>11.25</v>
      </c>
      <c r="D83" s="179">
        <f t="shared" si="2"/>
        <v>20.25</v>
      </c>
      <c r="E83" s="180">
        <v>45</v>
      </c>
      <c r="F83" s="178" t="s">
        <v>1132</v>
      </c>
      <c r="G83" s="178" t="s">
        <v>1127</v>
      </c>
      <c r="H83" s="178" t="s">
        <v>1173</v>
      </c>
      <c r="I83" s="179">
        <f t="shared" si="3"/>
        <v>0.55555555555555558</v>
      </c>
    </row>
    <row r="84" spans="1:9" x14ac:dyDescent="0.2">
      <c r="A84" s="178">
        <v>14203</v>
      </c>
      <c r="B84" s="178" t="s">
        <v>1152</v>
      </c>
      <c r="C84" s="178">
        <f t="shared" si="1"/>
        <v>7.5</v>
      </c>
      <c r="D84" s="179">
        <f t="shared" si="2"/>
        <v>13.5</v>
      </c>
      <c r="E84" s="180">
        <v>30</v>
      </c>
      <c r="F84" s="178" t="s">
        <v>1132</v>
      </c>
      <c r="G84" s="178" t="s">
        <v>1127</v>
      </c>
      <c r="H84" s="178" t="s">
        <v>1173</v>
      </c>
      <c r="I84" s="179">
        <f t="shared" si="3"/>
        <v>0.55555555555555558</v>
      </c>
    </row>
    <row r="85" spans="1:9" x14ac:dyDescent="0.2">
      <c r="A85" s="178">
        <v>13105</v>
      </c>
      <c r="B85" s="178" t="s">
        <v>1153</v>
      </c>
      <c r="C85" s="178">
        <f t="shared" si="1"/>
        <v>6.25</v>
      </c>
      <c r="D85" s="179">
        <f t="shared" si="2"/>
        <v>11.25</v>
      </c>
      <c r="E85" s="180">
        <v>25</v>
      </c>
      <c r="F85" s="178" t="s">
        <v>1102</v>
      </c>
      <c r="G85" s="178" t="s">
        <v>1128</v>
      </c>
      <c r="H85" s="178" t="s">
        <v>1173</v>
      </c>
      <c r="I85" s="179">
        <f t="shared" si="3"/>
        <v>0.55555555555555558</v>
      </c>
    </row>
    <row r="86" spans="1:9" x14ac:dyDescent="0.2">
      <c r="A86" s="178">
        <v>13105</v>
      </c>
      <c r="B86" s="178" t="s">
        <v>1154</v>
      </c>
      <c r="C86" s="178">
        <f t="shared" si="1"/>
        <v>28.125</v>
      </c>
      <c r="D86" s="179">
        <f t="shared" si="2"/>
        <v>50.625</v>
      </c>
      <c r="E86" s="180">
        <v>112.5</v>
      </c>
      <c r="F86" s="178" t="s">
        <v>1102</v>
      </c>
      <c r="G86" s="178" t="s">
        <v>1128</v>
      </c>
      <c r="H86" s="178" t="s">
        <v>1173</v>
      </c>
      <c r="I86" s="179">
        <f t="shared" si="3"/>
        <v>0.55555555555555558</v>
      </c>
    </row>
    <row r="87" spans="1:9" x14ac:dyDescent="0.2">
      <c r="A87" s="178">
        <v>13105</v>
      </c>
      <c r="B87" s="178" t="s">
        <v>1155</v>
      </c>
      <c r="C87" s="178">
        <f t="shared" si="1"/>
        <v>28.125</v>
      </c>
      <c r="D87" s="179">
        <f t="shared" si="2"/>
        <v>50.625</v>
      </c>
      <c r="E87" s="180">
        <v>112.5</v>
      </c>
      <c r="F87" s="178" t="s">
        <v>1102</v>
      </c>
      <c r="G87" s="178" t="s">
        <v>1128</v>
      </c>
      <c r="H87" s="178" t="s">
        <v>1173</v>
      </c>
      <c r="I87" s="179">
        <f t="shared" si="3"/>
        <v>0.55555555555555558</v>
      </c>
    </row>
    <row r="88" spans="1:9" x14ac:dyDescent="0.2">
      <c r="A88" s="178">
        <v>13105</v>
      </c>
      <c r="B88" s="178" t="s">
        <v>1156</v>
      </c>
      <c r="C88" s="178">
        <f t="shared" si="1"/>
        <v>11.25</v>
      </c>
      <c r="D88" s="179">
        <f t="shared" si="2"/>
        <v>20.25</v>
      </c>
      <c r="E88" s="180">
        <v>45</v>
      </c>
      <c r="F88" s="178" t="s">
        <v>1102</v>
      </c>
      <c r="G88" s="178" t="s">
        <v>1128</v>
      </c>
      <c r="H88" s="178" t="s">
        <v>1173</v>
      </c>
      <c r="I88" s="179">
        <f t="shared" si="3"/>
        <v>0.55555555555555558</v>
      </c>
    </row>
    <row r="89" spans="1:9" x14ac:dyDescent="0.2">
      <c r="A89" s="178">
        <v>13105</v>
      </c>
      <c r="B89" s="178" t="s">
        <v>1157</v>
      </c>
      <c r="C89" s="178">
        <f t="shared" si="1"/>
        <v>56.25</v>
      </c>
      <c r="D89" s="179">
        <f t="shared" si="2"/>
        <v>101.25</v>
      </c>
      <c r="E89" s="180">
        <v>225</v>
      </c>
      <c r="F89" s="178" t="s">
        <v>1102</v>
      </c>
      <c r="G89" s="178" t="s">
        <v>1128</v>
      </c>
      <c r="H89" s="178" t="s">
        <v>1173</v>
      </c>
      <c r="I89" s="179">
        <f t="shared" si="3"/>
        <v>0.55555555555555558</v>
      </c>
    </row>
    <row r="90" spans="1:9" x14ac:dyDescent="0.2">
      <c r="A90" s="178">
        <v>13105</v>
      </c>
      <c r="B90" s="178" t="s">
        <v>1148</v>
      </c>
      <c r="C90" s="178">
        <f t="shared" si="1"/>
        <v>18.75</v>
      </c>
      <c r="D90" s="179">
        <f t="shared" si="2"/>
        <v>33.75</v>
      </c>
      <c r="E90" s="180">
        <v>75</v>
      </c>
      <c r="F90" s="178" t="s">
        <v>1102</v>
      </c>
      <c r="G90" s="178" t="s">
        <v>1128</v>
      </c>
      <c r="H90" s="178" t="s">
        <v>1173</v>
      </c>
      <c r="I90" s="179">
        <f t="shared" si="3"/>
        <v>0.55555555555555558</v>
      </c>
    </row>
    <row r="91" spans="1:9" x14ac:dyDescent="0.2">
      <c r="A91" s="178">
        <v>13105</v>
      </c>
      <c r="B91" s="178" t="s">
        <v>1158</v>
      </c>
      <c r="C91" s="178">
        <f t="shared" si="1"/>
        <v>18.75</v>
      </c>
      <c r="D91" s="179">
        <f t="shared" si="2"/>
        <v>33.75</v>
      </c>
      <c r="E91" s="180">
        <v>75</v>
      </c>
      <c r="F91" s="178" t="s">
        <v>1102</v>
      </c>
      <c r="G91" s="178" t="s">
        <v>1128</v>
      </c>
      <c r="H91" s="178" t="s">
        <v>1173</v>
      </c>
      <c r="I91" s="179">
        <f t="shared" si="3"/>
        <v>0.55555555555555558</v>
      </c>
    </row>
    <row r="92" spans="1:9" x14ac:dyDescent="0.2">
      <c r="A92" s="178">
        <v>13105</v>
      </c>
      <c r="B92" s="178" t="s">
        <v>1159</v>
      </c>
      <c r="C92" s="178">
        <f t="shared" si="1"/>
        <v>56.25</v>
      </c>
      <c r="D92" s="179">
        <f t="shared" si="2"/>
        <v>101.25</v>
      </c>
      <c r="E92" s="180">
        <v>225</v>
      </c>
      <c r="F92" s="178" t="s">
        <v>1102</v>
      </c>
      <c r="G92" s="178" t="s">
        <v>1128</v>
      </c>
      <c r="H92" s="178" t="s">
        <v>1173</v>
      </c>
      <c r="I92" s="179">
        <f t="shared" si="3"/>
        <v>0.55555555555555558</v>
      </c>
    </row>
    <row r="93" spans="1:9" x14ac:dyDescent="0.2">
      <c r="A93" s="178">
        <v>13105</v>
      </c>
      <c r="B93" s="178" t="s">
        <v>1160</v>
      </c>
      <c r="C93" s="178">
        <f t="shared" si="1"/>
        <v>7.5</v>
      </c>
      <c r="D93" s="179">
        <f t="shared" si="2"/>
        <v>13.5</v>
      </c>
      <c r="E93" s="180">
        <v>30</v>
      </c>
      <c r="F93" s="178" t="s">
        <v>1102</v>
      </c>
      <c r="G93" s="178" t="s">
        <v>1128</v>
      </c>
      <c r="H93" s="178" t="s">
        <v>1173</v>
      </c>
      <c r="I93" s="179">
        <f t="shared" si="3"/>
        <v>0.55555555555555558</v>
      </c>
    </row>
    <row r="94" spans="1:9" x14ac:dyDescent="0.2">
      <c r="A94" s="178">
        <v>13105</v>
      </c>
      <c r="B94" s="178" t="s">
        <v>1161</v>
      </c>
      <c r="C94" s="178">
        <f t="shared" si="1"/>
        <v>6.25</v>
      </c>
      <c r="D94" s="179">
        <f t="shared" si="2"/>
        <v>11.25</v>
      </c>
      <c r="E94" s="180">
        <v>25</v>
      </c>
      <c r="F94" s="178" t="s">
        <v>1102</v>
      </c>
      <c r="G94" s="178" t="s">
        <v>1128</v>
      </c>
      <c r="H94" s="178" t="s">
        <v>1173</v>
      </c>
      <c r="I94" s="179">
        <f t="shared" si="3"/>
        <v>0.55555555555555558</v>
      </c>
    </row>
    <row r="95" spans="1:9" x14ac:dyDescent="0.2">
      <c r="A95" s="178">
        <v>13105</v>
      </c>
      <c r="B95" s="178" t="s">
        <v>1162</v>
      </c>
      <c r="C95" s="178">
        <f t="shared" si="1"/>
        <v>11.25</v>
      </c>
      <c r="D95" s="179">
        <f t="shared" si="2"/>
        <v>20.25</v>
      </c>
      <c r="E95" s="180">
        <v>45</v>
      </c>
      <c r="F95" s="178" t="s">
        <v>1102</v>
      </c>
      <c r="G95" s="178" t="s">
        <v>1128</v>
      </c>
      <c r="H95" s="178" t="s">
        <v>1173</v>
      </c>
      <c r="I95" s="179">
        <f t="shared" si="3"/>
        <v>0.55555555555555558</v>
      </c>
    </row>
    <row r="96" spans="1:9" x14ac:dyDescent="0.2">
      <c r="A96" s="178">
        <v>13105</v>
      </c>
      <c r="B96" s="178" t="s">
        <v>1163</v>
      </c>
      <c r="C96" s="178">
        <f t="shared" si="1"/>
        <v>6.25</v>
      </c>
      <c r="D96" s="179">
        <f t="shared" si="2"/>
        <v>11.25</v>
      </c>
      <c r="E96" s="180">
        <v>25</v>
      </c>
      <c r="F96" s="178" t="s">
        <v>1102</v>
      </c>
      <c r="G96" s="178" t="s">
        <v>1128</v>
      </c>
      <c r="H96" s="178" t="s">
        <v>1173</v>
      </c>
      <c r="I96" s="179">
        <f t="shared" si="3"/>
        <v>0.55555555555555558</v>
      </c>
    </row>
    <row r="97" spans="1:9" x14ac:dyDescent="0.2">
      <c r="A97" s="178">
        <v>13105</v>
      </c>
      <c r="B97" s="178" t="s">
        <v>1164</v>
      </c>
      <c r="C97" s="178">
        <f t="shared" si="1"/>
        <v>56.25</v>
      </c>
      <c r="D97" s="179">
        <f t="shared" si="2"/>
        <v>101.25</v>
      </c>
      <c r="E97" s="180">
        <v>225</v>
      </c>
      <c r="F97" s="178" t="s">
        <v>1102</v>
      </c>
      <c r="G97" s="178" t="s">
        <v>1128</v>
      </c>
      <c r="H97" s="178" t="s">
        <v>1173</v>
      </c>
      <c r="I97" s="179">
        <f t="shared" si="3"/>
        <v>0.55555555555555558</v>
      </c>
    </row>
    <row r="98" spans="1:9" x14ac:dyDescent="0.2">
      <c r="A98" s="178">
        <v>13101</v>
      </c>
      <c r="B98" s="178" t="s">
        <v>1171</v>
      </c>
      <c r="C98" s="178">
        <f t="shared" si="1"/>
        <v>750</v>
      </c>
      <c r="D98" s="179">
        <f t="shared" si="2"/>
        <v>1350</v>
      </c>
      <c r="E98" s="180">
        <v>3000</v>
      </c>
      <c r="F98" s="178" t="s">
        <v>1124</v>
      </c>
      <c r="G98" s="178" t="s">
        <v>1124</v>
      </c>
      <c r="H98" s="178" t="s">
        <v>1173</v>
      </c>
      <c r="I98" s="179">
        <f t="shared" si="3"/>
        <v>0.55555555555555558</v>
      </c>
    </row>
    <row r="99" spans="1:9" x14ac:dyDescent="0.2">
      <c r="A99" s="178">
        <v>13101</v>
      </c>
      <c r="B99" s="178" t="s">
        <v>1165</v>
      </c>
      <c r="C99" s="178">
        <f t="shared" si="1"/>
        <v>11.25</v>
      </c>
      <c r="D99" s="179">
        <f t="shared" si="2"/>
        <v>20.25</v>
      </c>
      <c r="E99" s="180">
        <v>45</v>
      </c>
      <c r="F99" s="178" t="s">
        <v>1124</v>
      </c>
      <c r="G99" s="178" t="s">
        <v>1124</v>
      </c>
      <c r="H99" s="178" t="s">
        <v>1173</v>
      </c>
      <c r="I99" s="179">
        <f t="shared" si="3"/>
        <v>0.55555555555555558</v>
      </c>
    </row>
    <row r="100" spans="1:9" x14ac:dyDescent="0.2">
      <c r="A100" s="178">
        <v>13101</v>
      </c>
      <c r="B100" s="178" t="s">
        <v>1166</v>
      </c>
      <c r="C100" s="178">
        <f t="shared" si="1"/>
        <v>75</v>
      </c>
      <c r="D100" s="179">
        <f t="shared" si="2"/>
        <v>135</v>
      </c>
      <c r="E100" s="180">
        <v>300</v>
      </c>
      <c r="F100" s="178" t="s">
        <v>1124</v>
      </c>
      <c r="G100" s="178" t="s">
        <v>1124</v>
      </c>
      <c r="H100" s="178" t="s">
        <v>1173</v>
      </c>
      <c r="I100" s="179">
        <f t="shared" si="3"/>
        <v>0.55555555555555558</v>
      </c>
    </row>
  </sheetData>
  <autoFilter ref="A2:H100"/>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20"/>
  <sheetViews>
    <sheetView showGridLines="0" zoomScale="70" zoomScaleNormal="70" workbookViewId="0">
      <pane ySplit="2" topLeftCell="A5" activePane="bottomLeft" state="frozen"/>
      <selection activeCell="A3" sqref="A3:A100"/>
      <selection pane="bottomLeft" activeCell="E26" sqref="E26"/>
    </sheetView>
  </sheetViews>
  <sheetFormatPr baseColWidth="10" defaultRowHeight="15" x14ac:dyDescent="0.25"/>
  <cols>
    <col min="1" max="1" width="16.28515625" style="44" customWidth="1"/>
    <col min="2" max="2" width="16.42578125" style="44" bestFit="1" customWidth="1"/>
    <col min="3" max="3" width="16.28515625" style="44" bestFit="1" customWidth="1"/>
    <col min="5" max="5" width="33.5703125" style="44" bestFit="1" customWidth="1"/>
    <col min="6" max="8" width="11.42578125" style="44"/>
    <col min="9" max="9" width="17.7109375" style="44" customWidth="1"/>
    <col min="10" max="16384" width="11.42578125" style="44"/>
  </cols>
  <sheetData>
    <row r="2" spans="1:5" ht="14.25" x14ac:dyDescent="0.2">
      <c r="A2" s="181" t="s">
        <v>1183</v>
      </c>
      <c r="B2" s="181" t="s">
        <v>1180</v>
      </c>
      <c r="C2" s="181" t="s">
        <v>1181</v>
      </c>
      <c r="D2" s="181" t="s">
        <v>1182</v>
      </c>
      <c r="E2" s="181" t="s">
        <v>1184</v>
      </c>
    </row>
    <row r="3" spans="1:5" ht="14.25" x14ac:dyDescent="0.2">
      <c r="A3" s="172">
        <v>20105</v>
      </c>
      <c r="B3" s="172" t="s">
        <v>1055</v>
      </c>
      <c r="C3" s="172" t="s">
        <v>1175</v>
      </c>
      <c r="D3" s="172">
        <v>385</v>
      </c>
      <c r="E3" s="172">
        <v>436.5</v>
      </c>
    </row>
    <row r="4" spans="1:5" ht="14.25" x14ac:dyDescent="0.2">
      <c r="A4" s="172">
        <v>20106</v>
      </c>
      <c r="B4" s="172" t="s">
        <v>1055</v>
      </c>
      <c r="C4" s="172" t="s">
        <v>1176</v>
      </c>
      <c r="D4" s="172">
        <v>4803</v>
      </c>
      <c r="E4" s="172">
        <v>2736</v>
      </c>
    </row>
    <row r="5" spans="1:5" ht="14.25" x14ac:dyDescent="0.2">
      <c r="A5" s="172">
        <v>20101</v>
      </c>
      <c r="B5" s="172" t="s">
        <v>1055</v>
      </c>
      <c r="C5" s="172" t="s">
        <v>1185</v>
      </c>
      <c r="D5" s="172">
        <v>3102</v>
      </c>
      <c r="E5" s="172">
        <v>1224</v>
      </c>
    </row>
    <row r="6" spans="1:5" ht="14.25" x14ac:dyDescent="0.2">
      <c r="A6" s="172">
        <v>20104</v>
      </c>
      <c r="B6" s="172" t="s">
        <v>1055</v>
      </c>
      <c r="C6" s="172" t="s">
        <v>1186</v>
      </c>
      <c r="D6" s="172">
        <v>0</v>
      </c>
      <c r="E6" s="172">
        <v>48.5</v>
      </c>
    </row>
    <row r="7" spans="1:5" ht="14.25" x14ac:dyDescent="0.2">
      <c r="A7" s="172">
        <v>20102</v>
      </c>
      <c r="B7" s="172" t="s">
        <v>1055</v>
      </c>
      <c r="C7" s="172" t="s">
        <v>1187</v>
      </c>
      <c r="D7" s="172">
        <v>0</v>
      </c>
      <c r="E7" s="172">
        <v>266.75</v>
      </c>
    </row>
    <row r="8" spans="1:5" ht="14.25" x14ac:dyDescent="0.2">
      <c r="A8" s="172">
        <v>41101</v>
      </c>
      <c r="B8" s="172" t="s">
        <v>1058</v>
      </c>
      <c r="C8" s="172" t="s">
        <v>1058</v>
      </c>
      <c r="D8" s="172">
        <v>85</v>
      </c>
      <c r="E8" s="172">
        <v>370.13</v>
      </c>
    </row>
    <row r="9" spans="1:5" ht="14.25" x14ac:dyDescent="0.2">
      <c r="A9" s="172">
        <v>41102</v>
      </c>
      <c r="B9" s="172" t="s">
        <v>1058</v>
      </c>
      <c r="C9" s="172" t="s">
        <v>1188</v>
      </c>
      <c r="D9" s="172">
        <v>1866</v>
      </c>
      <c r="E9" s="172">
        <v>1499.4</v>
      </c>
    </row>
    <row r="10" spans="1:5" ht="14.25" x14ac:dyDescent="0.2">
      <c r="A10" s="172">
        <v>41103</v>
      </c>
      <c r="B10" s="172" t="s">
        <v>1058</v>
      </c>
      <c r="C10" s="172" t="s">
        <v>1189</v>
      </c>
      <c r="D10" s="172">
        <v>1985</v>
      </c>
      <c r="E10" s="172">
        <v>810</v>
      </c>
    </row>
    <row r="11" spans="1:5" ht="14.25" x14ac:dyDescent="0.2">
      <c r="A11" s="172">
        <v>41104</v>
      </c>
      <c r="B11" s="172" t="s">
        <v>1058</v>
      </c>
      <c r="C11" s="172" t="s">
        <v>1177</v>
      </c>
      <c r="D11" s="172">
        <v>1003</v>
      </c>
      <c r="E11" s="172">
        <v>376.25</v>
      </c>
    </row>
    <row r="12" spans="1:5" ht="14.25" x14ac:dyDescent="0.2">
      <c r="A12" s="172">
        <v>19101</v>
      </c>
      <c r="B12" s="172" t="s">
        <v>1178</v>
      </c>
      <c r="C12" s="172" t="s">
        <v>1179</v>
      </c>
      <c r="D12" s="172">
        <v>0</v>
      </c>
      <c r="E12" s="172">
        <v>3175.9</v>
      </c>
    </row>
    <row r="13" spans="1:5" ht="14.25" x14ac:dyDescent="0.2">
      <c r="A13" s="172">
        <v>19102</v>
      </c>
      <c r="B13" s="172" t="s">
        <v>1178</v>
      </c>
      <c r="C13" s="172" t="s">
        <v>1178</v>
      </c>
      <c r="D13" s="172">
        <v>3171</v>
      </c>
      <c r="E13" s="172">
        <v>2190</v>
      </c>
    </row>
    <row r="14" spans="1:5" ht="14.25" x14ac:dyDescent="0.2">
      <c r="A14" s="172">
        <v>19104</v>
      </c>
      <c r="B14" s="172" t="s">
        <v>1178</v>
      </c>
      <c r="C14" s="172" t="s">
        <v>1190</v>
      </c>
      <c r="D14" s="172">
        <v>208</v>
      </c>
      <c r="E14" s="172">
        <v>324</v>
      </c>
    </row>
    <row r="15" spans="1:5" ht="14.25" x14ac:dyDescent="0.2">
      <c r="A15" s="172">
        <v>19103</v>
      </c>
      <c r="B15" s="172" t="s">
        <v>1178</v>
      </c>
      <c r="C15" s="172" t="s">
        <v>1191</v>
      </c>
      <c r="D15" s="172">
        <v>2100</v>
      </c>
      <c r="E15" s="172">
        <v>1125</v>
      </c>
    </row>
    <row r="16" spans="1:5" ht="14.25" x14ac:dyDescent="0.2">
      <c r="A16" s="172">
        <v>26101</v>
      </c>
      <c r="B16" s="172" t="s">
        <v>1057</v>
      </c>
      <c r="C16" s="172" t="s">
        <v>1283</v>
      </c>
      <c r="D16" s="172">
        <v>4804</v>
      </c>
      <c r="E16" s="172">
        <v>2065.5</v>
      </c>
    </row>
    <row r="17" spans="1:5" ht="14.25" x14ac:dyDescent="0.2">
      <c r="A17" s="172">
        <v>26102</v>
      </c>
      <c r="B17" s="172" t="s">
        <v>1057</v>
      </c>
      <c r="C17" s="172" t="s">
        <v>1280</v>
      </c>
      <c r="D17" s="172">
        <v>2005</v>
      </c>
      <c r="E17" s="172">
        <v>1282.5</v>
      </c>
    </row>
    <row r="18" spans="1:5" ht="14.25" x14ac:dyDescent="0.2">
      <c r="A18" s="172">
        <v>23102</v>
      </c>
      <c r="B18" s="172" t="s">
        <v>1056</v>
      </c>
      <c r="C18" s="172" t="s">
        <v>1278</v>
      </c>
      <c r="D18" s="172">
        <v>2675</v>
      </c>
      <c r="E18" s="172">
        <v>1440</v>
      </c>
    </row>
    <row r="19" spans="1:5" ht="14.25" x14ac:dyDescent="0.2">
      <c r="A19" s="172">
        <v>23101</v>
      </c>
      <c r="B19" s="172" t="s">
        <v>1056</v>
      </c>
      <c r="C19" s="172" t="s">
        <v>1284</v>
      </c>
      <c r="D19" s="172">
        <v>3555</v>
      </c>
      <c r="E19" s="172">
        <v>1720</v>
      </c>
    </row>
    <row r="20" spans="1:5" ht="14.25" x14ac:dyDescent="0.2">
      <c r="A20" s="172">
        <v>23103</v>
      </c>
      <c r="B20" s="172" t="s">
        <v>1056</v>
      </c>
      <c r="C20" s="172" t="s">
        <v>1192</v>
      </c>
      <c r="D20" s="172">
        <v>2176</v>
      </c>
      <c r="E20" s="172">
        <v>1092</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A50"/>
  <sheetViews>
    <sheetView showGridLines="0" topLeftCell="A19" workbookViewId="0">
      <selection activeCell="D27" sqref="D27"/>
    </sheetView>
  </sheetViews>
  <sheetFormatPr baseColWidth="10" defaultRowHeight="12.75" x14ac:dyDescent="0.2"/>
  <cols>
    <col min="1" max="1" width="2.5703125" style="437" customWidth="1"/>
    <col min="2" max="2" width="2" style="437" customWidth="1"/>
    <col min="3" max="3" width="2.7109375" style="437" customWidth="1"/>
    <col min="4" max="4" width="42.7109375" style="437" bestFit="1" customWidth="1"/>
    <col min="5" max="5" width="10.7109375" style="462" bestFit="1" customWidth="1"/>
    <col min="6" max="6" width="3.140625" style="462" customWidth="1"/>
    <col min="7" max="7" width="1.5703125" style="462" customWidth="1"/>
    <col min="8" max="8" width="1" style="462" customWidth="1"/>
    <col min="9" max="9" width="4.140625" style="462" customWidth="1"/>
    <col min="10" max="10" width="42.7109375" style="462" bestFit="1" customWidth="1"/>
    <col min="11" max="11" width="10.7109375" style="462" bestFit="1" customWidth="1"/>
    <col min="12" max="12" width="3.28515625" style="462" customWidth="1"/>
    <col min="13" max="13" width="1.85546875" style="462" customWidth="1"/>
    <col min="14" max="14" width="2.85546875" style="462" customWidth="1"/>
    <col min="15" max="27" width="11.42578125" style="462"/>
    <col min="28" max="16384" width="11.42578125" style="437"/>
  </cols>
  <sheetData>
    <row r="1" spans="2:13" ht="13.5" thickBot="1" x14ac:dyDescent="0.25">
      <c r="J1" s="437"/>
    </row>
    <row r="2" spans="2:13" ht="13.5" thickBot="1" x14ac:dyDescent="0.25">
      <c r="B2" s="471"/>
      <c r="C2" s="489"/>
      <c r="D2" s="489"/>
      <c r="E2" s="490"/>
      <c r="F2" s="490"/>
      <c r="G2" s="490"/>
      <c r="H2" s="490"/>
      <c r="I2" s="490"/>
      <c r="J2" s="489"/>
      <c r="K2" s="490"/>
      <c r="L2" s="490"/>
      <c r="M2" s="472"/>
    </row>
    <row r="3" spans="2:13" ht="13.5" customHeight="1" x14ac:dyDescent="0.25">
      <c r="B3" s="473"/>
      <c r="C3" s="471"/>
      <c r="D3" s="588" t="s">
        <v>1553</v>
      </c>
      <c r="E3" s="588"/>
      <c r="F3" s="472"/>
      <c r="G3" s="477"/>
      <c r="H3" s="477"/>
      <c r="I3" s="482"/>
      <c r="J3" s="589" t="s">
        <v>1552</v>
      </c>
      <c r="K3" s="589"/>
      <c r="L3" s="472"/>
      <c r="M3" s="475"/>
    </row>
    <row r="4" spans="2:13" ht="13.5" customHeight="1" x14ac:dyDescent="0.2">
      <c r="B4" s="473"/>
      <c r="C4" s="473"/>
      <c r="D4" s="474"/>
      <c r="E4" s="474"/>
      <c r="F4" s="475"/>
      <c r="G4" s="477"/>
      <c r="H4" s="477"/>
      <c r="I4" s="483"/>
      <c r="J4" s="474"/>
      <c r="K4" s="474"/>
      <c r="L4" s="475"/>
      <c r="M4" s="475"/>
    </row>
    <row r="5" spans="2:13" ht="13.5" customHeight="1" x14ac:dyDescent="0.2">
      <c r="B5" s="473"/>
      <c r="C5" s="473"/>
      <c r="D5" s="586" t="s">
        <v>1555</v>
      </c>
      <c r="E5" s="587"/>
      <c r="F5" s="475"/>
      <c r="G5" s="477"/>
      <c r="H5" s="477"/>
      <c r="I5" s="483"/>
      <c r="J5" s="586" t="s">
        <v>1555</v>
      </c>
      <c r="K5" s="587"/>
      <c r="L5" s="475"/>
      <c r="M5" s="475"/>
    </row>
    <row r="6" spans="2:13" x14ac:dyDescent="0.2">
      <c r="B6" s="473"/>
      <c r="C6" s="473"/>
      <c r="D6" s="476"/>
      <c r="E6" s="477"/>
      <c r="F6" s="475"/>
      <c r="G6" s="477"/>
      <c r="H6" s="477"/>
      <c r="I6" s="483"/>
      <c r="J6" s="477"/>
      <c r="K6" s="477"/>
      <c r="L6" s="475"/>
      <c r="M6" s="475"/>
    </row>
    <row r="7" spans="2:13" x14ac:dyDescent="0.2">
      <c r="B7" s="473"/>
      <c r="C7" s="473"/>
      <c r="D7" s="465" t="s">
        <v>1554</v>
      </c>
      <c r="E7" s="466">
        <v>25</v>
      </c>
      <c r="F7" s="475"/>
      <c r="G7" s="477"/>
      <c r="H7" s="477"/>
      <c r="I7" s="483"/>
      <c r="J7" s="465" t="s">
        <v>1554</v>
      </c>
      <c r="K7" s="466">
        <v>25</v>
      </c>
      <c r="L7" s="475"/>
      <c r="M7" s="475"/>
    </row>
    <row r="8" spans="2:13" x14ac:dyDescent="0.2">
      <c r="B8" s="473"/>
      <c r="C8" s="473"/>
      <c r="D8" s="465" t="s">
        <v>2</v>
      </c>
      <c r="E8" s="467">
        <v>0.13900000000000001</v>
      </c>
      <c r="F8" s="475"/>
      <c r="G8" s="477"/>
      <c r="H8" s="477"/>
      <c r="I8" s="483"/>
      <c r="J8" s="465" t="s">
        <v>2</v>
      </c>
      <c r="K8" s="467">
        <v>0.13900000000000001</v>
      </c>
      <c r="L8" s="475"/>
      <c r="M8" s="475"/>
    </row>
    <row r="9" spans="2:13" x14ac:dyDescent="0.2">
      <c r="B9" s="473"/>
      <c r="C9" s="473"/>
      <c r="D9" s="465" t="s">
        <v>3</v>
      </c>
      <c r="E9" s="467">
        <f>'Evaluación (2)'!B16</f>
        <v>2.1999999999999999E-2</v>
      </c>
      <c r="F9" s="475"/>
      <c r="G9" s="477"/>
      <c r="H9" s="477"/>
      <c r="I9" s="483"/>
      <c r="J9" s="465" t="s">
        <v>3</v>
      </c>
      <c r="K9" s="467">
        <v>3.04E-2</v>
      </c>
      <c r="L9" s="475"/>
      <c r="M9" s="475"/>
    </row>
    <row r="10" spans="2:13" x14ac:dyDescent="0.2">
      <c r="B10" s="473"/>
      <c r="C10" s="473"/>
      <c r="D10" s="476"/>
      <c r="E10" s="477"/>
      <c r="F10" s="475"/>
      <c r="G10" s="477"/>
      <c r="H10" s="477"/>
      <c r="I10" s="483"/>
      <c r="J10" s="477"/>
      <c r="K10" s="477"/>
      <c r="L10" s="475"/>
      <c r="M10" s="475"/>
    </row>
    <row r="11" spans="2:13" ht="13.5" customHeight="1" x14ac:dyDescent="0.2">
      <c r="B11" s="473"/>
      <c r="C11" s="473"/>
      <c r="D11" s="586" t="s">
        <v>1556</v>
      </c>
      <c r="E11" s="587"/>
      <c r="F11" s="475"/>
      <c r="G11" s="477"/>
      <c r="H11" s="477"/>
      <c r="I11" s="483"/>
      <c r="J11" s="586" t="s">
        <v>1556</v>
      </c>
      <c r="K11" s="587"/>
      <c r="L11" s="475"/>
      <c r="M11" s="475"/>
    </row>
    <row r="12" spans="2:13" x14ac:dyDescent="0.2">
      <c r="B12" s="473"/>
      <c r="C12" s="473"/>
      <c r="D12" s="476"/>
      <c r="E12" s="477"/>
      <c r="F12" s="475"/>
      <c r="G12" s="477"/>
      <c r="H12" s="477"/>
      <c r="I12" s="483"/>
      <c r="J12" s="477"/>
      <c r="K12" s="477"/>
      <c r="L12" s="475"/>
      <c r="M12" s="475"/>
    </row>
    <row r="13" spans="2:13" x14ac:dyDescent="0.2">
      <c r="B13" s="473"/>
      <c r="C13" s="473"/>
      <c r="D13" s="463" t="s">
        <v>1534</v>
      </c>
      <c r="E13" s="485">
        <f>'Evaluación (2)'!AB28</f>
        <v>0</v>
      </c>
      <c r="F13" s="475"/>
      <c r="G13" s="477"/>
      <c r="H13" s="477"/>
      <c r="I13" s="483"/>
      <c r="J13" s="463" t="s">
        <v>1534</v>
      </c>
      <c r="K13" s="485">
        <f>Evaluación!AB28</f>
        <v>270</v>
      </c>
      <c r="L13" s="475"/>
      <c r="M13" s="475"/>
    </row>
    <row r="14" spans="2:13" x14ac:dyDescent="0.2">
      <c r="B14" s="473"/>
      <c r="C14" s="473"/>
      <c r="D14" s="463" t="s">
        <v>1485</v>
      </c>
      <c r="E14" s="485">
        <f>'Evaluación (2)'!AB29</f>
        <v>0</v>
      </c>
      <c r="F14" s="475"/>
      <c r="G14" s="477"/>
      <c r="H14" s="477"/>
      <c r="I14" s="483"/>
      <c r="J14" s="463" t="s">
        <v>1485</v>
      </c>
      <c r="K14" s="485">
        <f>+Evaluación!AB29</f>
        <v>11426.644504520098</v>
      </c>
      <c r="L14" s="475"/>
      <c r="M14" s="475"/>
    </row>
    <row r="15" spans="2:13" x14ac:dyDescent="0.2">
      <c r="B15" s="473"/>
      <c r="C15" s="473"/>
      <c r="D15" s="464" t="s">
        <v>45</v>
      </c>
      <c r="E15" s="485">
        <f>'Evaluación (2)'!AB30</f>
        <v>0</v>
      </c>
      <c r="F15" s="475"/>
      <c r="G15" s="477"/>
      <c r="H15" s="477"/>
      <c r="I15" s="483"/>
      <c r="J15" s="464" t="s">
        <v>45</v>
      </c>
      <c r="K15" s="486">
        <f>+K14+K13</f>
        <v>11696.644504520098</v>
      </c>
      <c r="L15" s="475"/>
      <c r="M15" s="475"/>
    </row>
    <row r="16" spans="2:13" x14ac:dyDescent="0.2">
      <c r="B16" s="473"/>
      <c r="C16" s="473"/>
      <c r="D16" s="476"/>
      <c r="E16" s="476"/>
      <c r="F16" s="475"/>
      <c r="G16" s="477"/>
      <c r="H16" s="477"/>
      <c r="I16" s="483"/>
      <c r="J16" s="476"/>
      <c r="K16" s="476"/>
      <c r="L16" s="475"/>
      <c r="M16" s="475"/>
    </row>
    <row r="17" spans="2:27" x14ac:dyDescent="0.2">
      <c r="B17" s="473"/>
      <c r="C17" s="473"/>
      <c r="D17" s="463" t="s">
        <v>1535</v>
      </c>
      <c r="E17" s="485">
        <f>'Evaluación (2)'!AB30</f>
        <v>0</v>
      </c>
      <c r="F17" s="475"/>
      <c r="G17" s="477"/>
      <c r="H17" s="477"/>
      <c r="I17" s="483"/>
      <c r="J17" s="463" t="s">
        <v>1535</v>
      </c>
      <c r="K17" s="485">
        <f>+Evaluación!AB30</f>
        <v>870.43970556904094</v>
      </c>
      <c r="L17" s="475"/>
      <c r="M17" s="475"/>
    </row>
    <row r="18" spans="2:27" x14ac:dyDescent="0.2">
      <c r="B18" s="473"/>
      <c r="C18" s="473"/>
      <c r="D18" s="463" t="s">
        <v>4</v>
      </c>
      <c r="E18" s="485">
        <f>'Evaluación (2)'!AB31</f>
        <v>0</v>
      </c>
      <c r="F18" s="475"/>
      <c r="G18" s="477"/>
      <c r="H18" s="477"/>
      <c r="I18" s="483"/>
      <c r="J18" s="463" t="s">
        <v>4</v>
      </c>
      <c r="K18" s="485">
        <f>+Evaluación!AB31</f>
        <v>1404.2791095263069</v>
      </c>
      <c r="L18" s="475"/>
      <c r="M18" s="475"/>
    </row>
    <row r="19" spans="2:27" x14ac:dyDescent="0.2">
      <c r="B19" s="473"/>
      <c r="C19" s="473"/>
      <c r="D19" s="463" t="s">
        <v>25</v>
      </c>
      <c r="E19" s="485">
        <f>'Evaluación (2)'!AB33</f>
        <v>1277.7011957788891</v>
      </c>
      <c r="F19" s="475"/>
      <c r="G19" s="477"/>
      <c r="H19" s="477"/>
      <c r="I19" s="483"/>
      <c r="J19" s="463" t="s">
        <v>25</v>
      </c>
      <c r="K19" s="485">
        <f>+Evaluación!AB32</f>
        <v>13971.363319615448</v>
      </c>
      <c r="L19" s="475"/>
      <c r="M19" s="475"/>
    </row>
    <row r="20" spans="2:27" x14ac:dyDescent="0.2">
      <c r="B20" s="473"/>
      <c r="C20" s="473"/>
      <c r="D20" s="476"/>
      <c r="E20" s="476"/>
      <c r="F20" s="475"/>
      <c r="G20" s="477"/>
      <c r="H20" s="477"/>
      <c r="I20" s="483"/>
      <c r="J20" s="476"/>
      <c r="K20" s="476"/>
      <c r="L20" s="475"/>
      <c r="M20" s="475"/>
    </row>
    <row r="21" spans="2:27" x14ac:dyDescent="0.2">
      <c r="B21" s="473"/>
      <c r="C21" s="473"/>
      <c r="D21" s="463" t="s">
        <v>1413</v>
      </c>
      <c r="E21" s="485">
        <f>'Evaluación (2)'!AB34</f>
        <v>598.64125486737407</v>
      </c>
      <c r="F21" s="475"/>
      <c r="G21" s="477"/>
      <c r="H21" s="477"/>
      <c r="I21" s="483"/>
      <c r="J21" s="463" t="s">
        <v>1413</v>
      </c>
      <c r="K21" s="485">
        <f>+Evaluación!AB33</f>
        <v>2394.5650194694958</v>
      </c>
      <c r="L21" s="475"/>
      <c r="M21" s="475"/>
    </row>
    <row r="22" spans="2:27" x14ac:dyDescent="0.2">
      <c r="B22" s="473"/>
      <c r="C22" s="473"/>
      <c r="D22" s="463" t="s">
        <v>7</v>
      </c>
      <c r="E22" s="485">
        <f>'Evaluación (2)'!AB35</f>
        <v>1157.514010740467</v>
      </c>
      <c r="F22" s="475"/>
      <c r="G22" s="477"/>
      <c r="H22" s="477"/>
      <c r="I22" s="483"/>
      <c r="J22" s="463" t="s">
        <v>7</v>
      </c>
      <c r="K22" s="485">
        <f>+Evaluación!AB34</f>
        <v>9005.2625094370469</v>
      </c>
      <c r="L22" s="475"/>
      <c r="M22" s="475"/>
    </row>
    <row r="23" spans="2:27" x14ac:dyDescent="0.2">
      <c r="B23" s="473"/>
      <c r="C23" s="473"/>
      <c r="D23" s="463" t="s">
        <v>6</v>
      </c>
      <c r="E23" s="485">
        <f>'Evaluación (2)'!AB36</f>
        <v>0</v>
      </c>
      <c r="F23" s="475"/>
      <c r="G23" s="477"/>
      <c r="H23" s="477"/>
      <c r="I23" s="483"/>
      <c r="J23" s="463" t="s">
        <v>6</v>
      </c>
      <c r="K23" s="485">
        <f>+Evaluación!AB35</f>
        <v>1404.2791095263069</v>
      </c>
      <c r="L23" s="475"/>
      <c r="M23" s="475"/>
    </row>
    <row r="24" spans="2:27" x14ac:dyDescent="0.2">
      <c r="B24" s="473"/>
      <c r="C24" s="473"/>
      <c r="D24" s="463" t="s">
        <v>1536</v>
      </c>
      <c r="E24" s="485">
        <f>'Evaluación (2)'!AB37</f>
        <v>0</v>
      </c>
      <c r="F24" s="475"/>
      <c r="G24" s="477"/>
      <c r="H24" s="477"/>
      <c r="I24" s="483"/>
      <c r="J24" s="463" t="s">
        <v>1536</v>
      </c>
      <c r="K24" s="485">
        <f>+Evaluación!AB36</f>
        <v>19.810399876743624</v>
      </c>
      <c r="L24" s="475"/>
      <c r="M24" s="475"/>
    </row>
    <row r="25" spans="2:27" x14ac:dyDescent="0.2">
      <c r="B25" s="473"/>
      <c r="C25" s="473"/>
      <c r="D25" s="463" t="s">
        <v>1463</v>
      </c>
      <c r="E25" s="485">
        <f>'Evaluación (2)'!AB38</f>
        <v>0</v>
      </c>
      <c r="F25" s="475"/>
      <c r="G25" s="477"/>
      <c r="H25" s="477"/>
      <c r="I25" s="483"/>
      <c r="J25" s="463" t="s">
        <v>1463</v>
      </c>
      <c r="K25" s="485">
        <f>+Evaluación!AB37</f>
        <v>1436.5317725008822</v>
      </c>
      <c r="L25" s="475"/>
      <c r="M25" s="475"/>
    </row>
    <row r="26" spans="2:27" x14ac:dyDescent="0.2">
      <c r="B26" s="473"/>
      <c r="C26" s="473"/>
      <c r="D26" s="463" t="s">
        <v>1414</v>
      </c>
      <c r="E26" s="485">
        <f>'Evaluación (2)'!AB39</f>
        <v>1614.8958736035172</v>
      </c>
      <c r="F26" s="475"/>
      <c r="G26" s="477"/>
      <c r="H26" s="477"/>
      <c r="I26" s="483"/>
      <c r="J26" s="463" t="s">
        <v>1414</v>
      </c>
      <c r="K26" s="485">
        <f>+Evaluación!AB38</f>
        <v>235.28891205548823</v>
      </c>
      <c r="L26" s="475"/>
      <c r="M26" s="475"/>
    </row>
    <row r="27" spans="2:27" x14ac:dyDescent="0.2">
      <c r="B27" s="473"/>
      <c r="C27" s="473"/>
      <c r="D27" s="463" t="s">
        <v>1550</v>
      </c>
      <c r="E27" s="485">
        <f>+Evaluación!V39</f>
        <v>2112.1478967021026</v>
      </c>
      <c r="F27" s="475"/>
      <c r="G27" s="477"/>
      <c r="H27" s="477"/>
      <c r="I27" s="483"/>
      <c r="J27" s="463" t="s">
        <v>1550</v>
      </c>
      <c r="K27" s="485">
        <f>+Evaluación!AB39</f>
        <v>14495.737722865962</v>
      </c>
      <c r="L27" s="475"/>
      <c r="M27" s="475"/>
    </row>
    <row r="28" spans="2:27" x14ac:dyDescent="0.2">
      <c r="B28" s="473"/>
      <c r="C28" s="473"/>
      <c r="D28" s="476"/>
      <c r="E28" s="476"/>
      <c r="F28" s="475"/>
      <c r="G28" s="477"/>
      <c r="H28" s="477"/>
      <c r="I28" s="483"/>
      <c r="J28" s="476"/>
      <c r="K28" s="476"/>
      <c r="L28" s="475"/>
      <c r="M28" s="475"/>
    </row>
    <row r="29" spans="2:27" x14ac:dyDescent="0.2">
      <c r="B29" s="473"/>
      <c r="C29" s="473"/>
      <c r="D29" s="463" t="s">
        <v>46</v>
      </c>
      <c r="E29" s="485">
        <f>+'Evaluación (2)'!AB41</f>
        <v>17727.996856962072</v>
      </c>
      <c r="F29" s="475"/>
      <c r="G29" s="477"/>
      <c r="H29" s="477"/>
      <c r="I29" s="483"/>
      <c r="J29" s="463" t="s">
        <v>46</v>
      </c>
      <c r="K29" s="485">
        <f>+Evaluación!AB41</f>
        <v>227478.2167127147</v>
      </c>
      <c r="L29" s="475"/>
      <c r="M29" s="475"/>
    </row>
    <row r="30" spans="2:27" x14ac:dyDescent="0.2">
      <c r="B30" s="473"/>
      <c r="C30" s="473"/>
      <c r="D30" s="463" t="s">
        <v>1557</v>
      </c>
      <c r="E30" s="485">
        <f>+E27-E19</f>
        <v>834.44670092321348</v>
      </c>
      <c r="F30" s="475"/>
      <c r="G30" s="477"/>
      <c r="H30" s="477"/>
      <c r="I30" s="483"/>
      <c r="J30" s="463" t="s">
        <v>1557</v>
      </c>
      <c r="K30" s="485">
        <f>+K27-K19</f>
        <v>524.37440325051466</v>
      </c>
      <c r="L30" s="475"/>
      <c r="M30" s="475"/>
    </row>
    <row r="31" spans="2:27" ht="13.5" thickBot="1" x14ac:dyDescent="0.25">
      <c r="B31" s="473"/>
      <c r="C31" s="478"/>
      <c r="D31" s="479"/>
      <c r="E31" s="479"/>
      <c r="F31" s="481"/>
      <c r="G31" s="477"/>
      <c r="H31" s="477"/>
      <c r="I31" s="484"/>
      <c r="J31" s="479"/>
      <c r="K31" s="479"/>
      <c r="L31" s="481"/>
      <c r="M31" s="475"/>
    </row>
    <row r="32" spans="2:27" s="476" customFormat="1" ht="13.5" thickBot="1" x14ac:dyDescent="0.25">
      <c r="B32" s="473"/>
      <c r="C32" s="487"/>
      <c r="D32" s="487"/>
      <c r="E32" s="488"/>
      <c r="F32" s="488"/>
      <c r="G32" s="477"/>
      <c r="H32" s="477"/>
      <c r="I32" s="488"/>
      <c r="J32" s="488"/>
      <c r="K32" s="488"/>
      <c r="L32" s="488"/>
      <c r="M32" s="475"/>
      <c r="N32" s="477"/>
      <c r="O32" s="477"/>
      <c r="P32" s="477"/>
      <c r="Q32" s="477"/>
      <c r="R32" s="477"/>
      <c r="S32" s="477"/>
      <c r="T32" s="477"/>
      <c r="U32" s="477"/>
      <c r="V32" s="477"/>
      <c r="W32" s="477"/>
      <c r="X32" s="477"/>
      <c r="Y32" s="477"/>
      <c r="Z32" s="477"/>
      <c r="AA32" s="477"/>
    </row>
    <row r="33" spans="2:13" x14ac:dyDescent="0.2">
      <c r="B33" s="473"/>
      <c r="C33" s="473"/>
      <c r="D33" s="476"/>
      <c r="E33" s="477"/>
      <c r="F33" s="475"/>
      <c r="G33" s="477"/>
      <c r="H33" s="477"/>
      <c r="I33" s="483"/>
      <c r="J33" s="477"/>
      <c r="K33" s="477"/>
      <c r="L33" s="475"/>
      <c r="M33" s="475"/>
    </row>
    <row r="34" spans="2:13" x14ac:dyDescent="0.2">
      <c r="B34" s="473"/>
      <c r="C34" s="473"/>
      <c r="D34" s="586" t="s">
        <v>1558</v>
      </c>
      <c r="E34" s="587"/>
      <c r="F34" s="475"/>
      <c r="G34" s="477"/>
      <c r="H34" s="477"/>
      <c r="I34" s="483"/>
      <c r="J34" s="586" t="s">
        <v>1559</v>
      </c>
      <c r="K34" s="587"/>
      <c r="L34" s="475"/>
      <c r="M34" s="475"/>
    </row>
    <row r="35" spans="2:13" x14ac:dyDescent="0.2">
      <c r="B35" s="473"/>
      <c r="C35" s="473"/>
      <c r="D35" s="465" t="s">
        <v>37</v>
      </c>
      <c r="E35" s="468">
        <f>+'Evaluación (2)'!B19</f>
        <v>337.19467782462817</v>
      </c>
      <c r="F35" s="475"/>
      <c r="G35" s="477"/>
      <c r="H35" s="477"/>
      <c r="I35" s="483"/>
      <c r="J35" s="465" t="s">
        <v>37</v>
      </c>
      <c r="K35" s="468">
        <f>+Evaluación!B19</f>
        <v>524.37440325052012</v>
      </c>
      <c r="L35" s="475"/>
      <c r="M35" s="475"/>
    </row>
    <row r="36" spans="2:13" ht="12.75" customHeight="1" x14ac:dyDescent="0.2">
      <c r="B36" s="473"/>
      <c r="C36" s="473"/>
      <c r="D36" s="465" t="s">
        <v>39</v>
      </c>
      <c r="E36" s="467">
        <f>+'Evaluación (2)'!B20</f>
        <v>1.630129595533711</v>
      </c>
      <c r="F36" s="475"/>
      <c r="G36" s="477"/>
      <c r="H36" s="477"/>
      <c r="I36" s="483"/>
      <c r="J36" s="465" t="s">
        <v>39</v>
      </c>
      <c r="K36" s="467">
        <f>+Evaluación!B20</f>
        <v>0.14672840824211275</v>
      </c>
      <c r="L36" s="475"/>
      <c r="M36" s="475"/>
    </row>
    <row r="37" spans="2:13" x14ac:dyDescent="0.2">
      <c r="B37" s="473"/>
      <c r="C37" s="473"/>
      <c r="D37" s="465" t="s">
        <v>40</v>
      </c>
      <c r="E37" s="469">
        <f>+'Evaluación (2)'!B21</f>
        <v>1.2639073039444668</v>
      </c>
      <c r="F37" s="475"/>
      <c r="G37" s="477"/>
      <c r="H37" s="477"/>
      <c r="I37" s="483"/>
      <c r="J37" s="465" t="s">
        <v>40</v>
      </c>
      <c r="K37" s="469">
        <f>+Evaluación!B21</f>
        <v>1.0375320855420249</v>
      </c>
      <c r="L37" s="475"/>
      <c r="M37" s="475"/>
    </row>
    <row r="38" spans="2:13" x14ac:dyDescent="0.2">
      <c r="B38" s="473"/>
      <c r="C38" s="473"/>
      <c r="D38" s="465" t="s">
        <v>48</v>
      </c>
      <c r="E38" s="470">
        <f>+'Evaluación (2)'!B22</f>
        <v>5</v>
      </c>
      <c r="F38" s="475"/>
      <c r="G38" s="477"/>
      <c r="H38" s="477"/>
      <c r="I38" s="483"/>
      <c r="J38" s="465" t="s">
        <v>48</v>
      </c>
      <c r="K38" s="470">
        <f>+Evaluación!B22</f>
        <v>9</v>
      </c>
      <c r="L38" s="475"/>
      <c r="M38" s="475"/>
    </row>
    <row r="39" spans="2:13" ht="13.5" thickBot="1" x14ac:dyDescent="0.25">
      <c r="B39" s="473"/>
      <c r="C39" s="478"/>
      <c r="D39" s="479"/>
      <c r="E39" s="480"/>
      <c r="F39" s="481"/>
      <c r="G39" s="477"/>
      <c r="H39" s="477"/>
      <c r="I39" s="484"/>
      <c r="J39" s="480"/>
      <c r="K39" s="480"/>
      <c r="L39" s="481"/>
      <c r="M39" s="475"/>
    </row>
    <row r="40" spans="2:13" ht="13.5" thickBot="1" x14ac:dyDescent="0.25">
      <c r="B40" s="478"/>
      <c r="C40" s="479"/>
      <c r="D40" s="479"/>
      <c r="E40" s="480"/>
      <c r="F40" s="480"/>
      <c r="G40" s="480"/>
      <c r="H40" s="480"/>
      <c r="I40" s="480"/>
      <c r="J40" s="480"/>
      <c r="K40" s="480"/>
      <c r="L40" s="480"/>
      <c r="M40" s="481"/>
    </row>
    <row r="41" spans="2:13" ht="6.75" customHeight="1" thickBot="1" x14ac:dyDescent="0.25"/>
    <row r="42" spans="2:13" ht="6" customHeight="1" thickBot="1" x14ac:dyDescent="0.25">
      <c r="B42" s="471"/>
      <c r="C42" s="489"/>
      <c r="D42" s="489"/>
      <c r="E42" s="490"/>
      <c r="F42" s="490"/>
      <c r="G42" s="490"/>
      <c r="H42" s="490"/>
      <c r="I42" s="490"/>
      <c r="J42" s="490"/>
      <c r="K42" s="490"/>
      <c r="L42" s="490"/>
      <c r="M42" s="472"/>
    </row>
    <row r="43" spans="2:13" x14ac:dyDescent="0.2">
      <c r="B43" s="473"/>
      <c r="C43" s="471" t="s">
        <v>1561</v>
      </c>
      <c r="D43" s="489"/>
      <c r="E43" s="490"/>
      <c r="F43" s="490"/>
      <c r="G43" s="490"/>
      <c r="H43" s="490"/>
      <c r="I43" s="490"/>
      <c r="J43" s="490"/>
      <c r="K43" s="490"/>
      <c r="L43" s="472"/>
      <c r="M43" s="475"/>
    </row>
    <row r="44" spans="2:13" ht="3.75" customHeight="1" x14ac:dyDescent="0.2">
      <c r="B44" s="473"/>
      <c r="C44" s="473"/>
      <c r="D44" s="476"/>
      <c r="E44" s="477"/>
      <c r="F44" s="477"/>
      <c r="G44" s="477"/>
      <c r="H44" s="477"/>
      <c r="I44" s="477"/>
      <c r="J44" s="477"/>
      <c r="K44" s="477"/>
      <c r="L44" s="475"/>
      <c r="M44" s="475"/>
    </row>
    <row r="45" spans="2:13" x14ac:dyDescent="0.2">
      <c r="B45" s="473"/>
      <c r="C45" s="473">
        <v>1</v>
      </c>
      <c r="D45" s="476"/>
      <c r="E45" s="477"/>
      <c r="F45" s="477"/>
      <c r="G45" s="477"/>
      <c r="H45" s="477"/>
      <c r="I45" s="477"/>
      <c r="J45" s="477"/>
      <c r="K45" s="477"/>
      <c r="L45" s="475"/>
      <c r="M45" s="475"/>
    </row>
    <row r="46" spans="2:13" x14ac:dyDescent="0.2">
      <c r="B46" s="473"/>
      <c r="C46" s="473">
        <v>2</v>
      </c>
      <c r="D46" s="476"/>
      <c r="E46" s="477"/>
      <c r="F46" s="477"/>
      <c r="G46" s="477"/>
      <c r="H46" s="477"/>
      <c r="I46" s="477"/>
      <c r="J46" s="477"/>
      <c r="K46" s="477"/>
      <c r="L46" s="475"/>
      <c r="M46" s="475"/>
    </row>
    <row r="47" spans="2:13" x14ac:dyDescent="0.2">
      <c r="B47" s="473"/>
      <c r="C47" s="473">
        <v>3</v>
      </c>
      <c r="D47" s="476"/>
      <c r="E47" s="477"/>
      <c r="F47" s="477"/>
      <c r="G47" s="477"/>
      <c r="H47" s="477"/>
      <c r="I47" s="477"/>
      <c r="J47" s="477"/>
      <c r="K47" s="477"/>
      <c r="L47" s="475"/>
      <c r="M47" s="475"/>
    </row>
    <row r="48" spans="2:13" x14ac:dyDescent="0.2">
      <c r="B48" s="473"/>
      <c r="C48" s="473">
        <v>4</v>
      </c>
      <c r="D48" s="476"/>
      <c r="E48" s="477"/>
      <c r="F48" s="477"/>
      <c r="G48" s="477"/>
      <c r="H48" s="477"/>
      <c r="I48" s="477"/>
      <c r="J48" s="477"/>
      <c r="K48" s="477"/>
      <c r="L48" s="475"/>
      <c r="M48" s="475"/>
    </row>
    <row r="49" spans="2:13" ht="5.25" customHeight="1" thickBot="1" x14ac:dyDescent="0.25">
      <c r="B49" s="473"/>
      <c r="C49" s="478"/>
      <c r="D49" s="479"/>
      <c r="E49" s="480"/>
      <c r="F49" s="480"/>
      <c r="G49" s="480"/>
      <c r="H49" s="480"/>
      <c r="I49" s="480"/>
      <c r="J49" s="480"/>
      <c r="K49" s="480"/>
      <c r="L49" s="481"/>
      <c r="M49" s="475"/>
    </row>
    <row r="50" spans="2:13" ht="6.75" customHeight="1" thickBot="1" x14ac:dyDescent="0.25">
      <c r="B50" s="478"/>
      <c r="C50" s="479"/>
      <c r="D50" s="479"/>
      <c r="E50" s="480"/>
      <c r="F50" s="480"/>
      <c r="G50" s="480"/>
      <c r="H50" s="480"/>
      <c r="I50" s="480"/>
      <c r="J50" s="480"/>
      <c r="K50" s="480"/>
      <c r="L50" s="480"/>
      <c r="M50" s="481"/>
    </row>
  </sheetData>
  <mergeCells count="8">
    <mergeCell ref="D11:E11"/>
    <mergeCell ref="J11:K11"/>
    <mergeCell ref="D34:E34"/>
    <mergeCell ref="J34:K34"/>
    <mergeCell ref="D3:E3"/>
    <mergeCell ref="J3:K3"/>
    <mergeCell ref="D5:E5"/>
    <mergeCell ref="J5:K5"/>
  </mergeCells>
  <pageMargins left="0.7" right="0.7" top="0.75" bottom="0.75" header="0.3" footer="0.3"/>
  <pageSetup orientation="portrait" horizontalDpi="300"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41"/>
  <sheetViews>
    <sheetView showGridLines="0" zoomScale="70" zoomScaleNormal="70" workbookViewId="0">
      <pane ySplit="1" topLeftCell="A75" activePane="bottomLeft" state="frozen"/>
      <selection pane="bottomLeft" activeCell="G36" sqref="G36"/>
    </sheetView>
  </sheetViews>
  <sheetFormatPr baseColWidth="10" defaultRowHeight="14.25" x14ac:dyDescent="0.2"/>
  <cols>
    <col min="1" max="1" width="7.28515625" style="137" bestFit="1" customWidth="1"/>
    <col min="2" max="2" width="27" style="44" bestFit="1" customWidth="1"/>
    <col min="3" max="3" width="6.85546875" style="44" bestFit="1" customWidth="1"/>
    <col min="4" max="4" width="16.85546875" style="44" bestFit="1" customWidth="1"/>
    <col min="5" max="5" width="7.7109375" style="44" bestFit="1" customWidth="1"/>
    <col min="6" max="6" width="6.28515625" style="44" bestFit="1" customWidth="1"/>
    <col min="7" max="7" width="8.7109375" style="44" bestFit="1" customWidth="1"/>
    <col min="8" max="8" width="9.28515625" style="44" bestFit="1" customWidth="1"/>
    <col min="9" max="9" width="7.42578125" style="44" bestFit="1" customWidth="1"/>
    <col min="10" max="10" width="9.5703125" style="44" bestFit="1" customWidth="1"/>
    <col min="11" max="11" width="7.28515625" style="44" bestFit="1" customWidth="1"/>
    <col min="12" max="12" width="8.42578125" style="44" bestFit="1" customWidth="1"/>
    <col min="13" max="13" width="6.140625" style="44" bestFit="1" customWidth="1"/>
    <col min="14" max="14" width="6.7109375" style="44" bestFit="1" customWidth="1"/>
    <col min="15" max="15" width="7.28515625" style="44" bestFit="1" customWidth="1"/>
    <col min="16" max="16" width="7.85546875" style="44" bestFit="1" customWidth="1"/>
    <col min="17" max="17" width="6.140625" style="44" bestFit="1" customWidth="1"/>
    <col min="18" max="18" width="6.42578125" style="44" bestFit="1" customWidth="1"/>
    <col min="19" max="19" width="14.85546875" style="44" bestFit="1" customWidth="1"/>
    <col min="20" max="20" width="5.5703125" style="44" bestFit="1" customWidth="1"/>
    <col min="21" max="21" width="10.5703125" style="44" bestFit="1" customWidth="1"/>
    <col min="22" max="22" width="10.7109375" style="44" bestFit="1" customWidth="1"/>
    <col min="23" max="23" width="17.28515625" style="44" bestFit="1" customWidth="1"/>
    <col min="24" max="24" width="11.42578125" style="44"/>
    <col min="25" max="25" width="13.85546875" style="44" bestFit="1" customWidth="1"/>
    <col min="26" max="16384" width="11.42578125" style="44"/>
  </cols>
  <sheetData>
    <row r="1" spans="1:26" s="138" customFormat="1" ht="22.5" customHeight="1" x14ac:dyDescent="0.25">
      <c r="A1" s="176" t="s">
        <v>1193</v>
      </c>
      <c r="B1" s="176" t="s">
        <v>1194</v>
      </c>
      <c r="C1" s="176" t="s">
        <v>1129</v>
      </c>
      <c r="D1" s="176" t="s">
        <v>1195</v>
      </c>
      <c r="E1" s="176" t="s">
        <v>1196</v>
      </c>
      <c r="F1" s="165" t="s">
        <v>1197</v>
      </c>
      <c r="G1" s="165" t="s">
        <v>1198</v>
      </c>
      <c r="H1" s="165" t="s">
        <v>1199</v>
      </c>
      <c r="I1" s="165" t="s">
        <v>1200</v>
      </c>
      <c r="J1" s="165" t="s">
        <v>1201</v>
      </c>
      <c r="K1" s="165" t="s">
        <v>1202</v>
      </c>
      <c r="L1" s="165" t="s">
        <v>1203</v>
      </c>
      <c r="M1" s="165" t="s">
        <v>1204</v>
      </c>
      <c r="N1" s="165" t="s">
        <v>1205</v>
      </c>
      <c r="O1" s="165" t="s">
        <v>1206</v>
      </c>
      <c r="P1" s="165" t="s">
        <v>1207</v>
      </c>
      <c r="Q1" s="175" t="s">
        <v>1208</v>
      </c>
      <c r="R1" s="175" t="s">
        <v>1209</v>
      </c>
      <c r="S1" s="165" t="s">
        <v>1210</v>
      </c>
      <c r="T1" s="165" t="s">
        <v>1211</v>
      </c>
      <c r="U1" s="165" t="s">
        <v>1212</v>
      </c>
      <c r="V1" s="165" t="s">
        <v>1213</v>
      </c>
      <c r="W1" s="165" t="s">
        <v>1214</v>
      </c>
    </row>
    <row r="2" spans="1:26" s="136" customFormat="1" x14ac:dyDescent="0.2">
      <c r="A2" s="166">
        <v>23004</v>
      </c>
      <c r="B2" s="167" t="s">
        <v>1215</v>
      </c>
      <c r="C2" s="167" t="s">
        <v>1216</v>
      </c>
      <c r="D2" s="167" t="s">
        <v>1217</v>
      </c>
      <c r="E2" s="168">
        <v>34.5</v>
      </c>
      <c r="F2" s="168">
        <v>4</v>
      </c>
      <c r="G2" s="168">
        <v>0</v>
      </c>
      <c r="H2" s="168">
        <v>0</v>
      </c>
      <c r="I2" s="168">
        <v>1</v>
      </c>
      <c r="J2" s="168">
        <v>67</v>
      </c>
      <c r="K2" s="168">
        <v>0</v>
      </c>
      <c r="L2" s="168">
        <v>0</v>
      </c>
      <c r="M2" s="168">
        <v>0</v>
      </c>
      <c r="N2" s="168">
        <v>0</v>
      </c>
      <c r="O2" s="168">
        <v>4</v>
      </c>
      <c r="P2" s="168">
        <v>0.6</v>
      </c>
      <c r="Q2" s="168">
        <v>4</v>
      </c>
      <c r="R2" s="168">
        <v>0.6</v>
      </c>
      <c r="S2" s="169" t="s">
        <v>1218</v>
      </c>
      <c r="T2" s="169">
        <v>2010</v>
      </c>
      <c r="U2" s="168">
        <v>14</v>
      </c>
      <c r="V2" s="168">
        <v>9.75</v>
      </c>
      <c r="W2" s="170">
        <v>40179</v>
      </c>
      <c r="Y2" s="164"/>
      <c r="Z2" s="164"/>
    </row>
    <row r="3" spans="1:26" s="136" customFormat="1" x14ac:dyDescent="0.2">
      <c r="A3" s="166">
        <v>23004</v>
      </c>
      <c r="B3" s="167" t="s">
        <v>1215</v>
      </c>
      <c r="C3" s="167" t="s">
        <v>1216</v>
      </c>
      <c r="D3" s="167" t="s">
        <v>1217</v>
      </c>
      <c r="E3" s="168">
        <v>34.5</v>
      </c>
      <c r="F3" s="168">
        <v>4</v>
      </c>
      <c r="G3" s="168">
        <v>0</v>
      </c>
      <c r="H3" s="168">
        <v>0</v>
      </c>
      <c r="I3" s="168">
        <v>2</v>
      </c>
      <c r="J3" s="168">
        <v>21</v>
      </c>
      <c r="K3" s="168">
        <v>0</v>
      </c>
      <c r="L3" s="168">
        <v>0</v>
      </c>
      <c r="M3" s="168">
        <v>0</v>
      </c>
      <c r="N3" s="168">
        <v>0</v>
      </c>
      <c r="O3" s="168">
        <v>2</v>
      </c>
      <c r="P3" s="168">
        <v>0.26666666666666666</v>
      </c>
      <c r="Q3" s="168">
        <v>2</v>
      </c>
      <c r="R3" s="168">
        <v>0.26666666666666666</v>
      </c>
      <c r="S3" s="169" t="s">
        <v>1218</v>
      </c>
      <c r="T3" s="169">
        <v>2010</v>
      </c>
      <c r="U3" s="168">
        <v>14</v>
      </c>
      <c r="V3" s="168">
        <v>9.75</v>
      </c>
      <c r="W3" s="170">
        <v>40210</v>
      </c>
      <c r="Z3" s="164"/>
    </row>
    <row r="4" spans="1:26" s="136" customFormat="1" x14ac:dyDescent="0.2">
      <c r="A4" s="166">
        <v>23004</v>
      </c>
      <c r="B4" s="167" t="s">
        <v>1215</v>
      </c>
      <c r="C4" s="167" t="s">
        <v>1216</v>
      </c>
      <c r="D4" s="167" t="s">
        <v>1217</v>
      </c>
      <c r="E4" s="168">
        <v>34.5</v>
      </c>
      <c r="F4" s="168">
        <v>4</v>
      </c>
      <c r="G4" s="168">
        <v>0</v>
      </c>
      <c r="H4" s="168">
        <v>0</v>
      </c>
      <c r="I4" s="168">
        <v>2</v>
      </c>
      <c r="J4" s="168">
        <v>30</v>
      </c>
      <c r="K4" s="168">
        <v>0</v>
      </c>
      <c r="L4" s="168">
        <v>0</v>
      </c>
      <c r="M4" s="168">
        <v>0</v>
      </c>
      <c r="N4" s="168">
        <v>0</v>
      </c>
      <c r="O4" s="168">
        <v>0</v>
      </c>
      <c r="P4" s="168">
        <v>0</v>
      </c>
      <c r="Q4" s="168">
        <v>0</v>
      </c>
      <c r="R4" s="168">
        <v>0</v>
      </c>
      <c r="S4" s="169" t="s">
        <v>1218</v>
      </c>
      <c r="T4" s="169">
        <v>2010</v>
      </c>
      <c r="U4" s="168">
        <v>14</v>
      </c>
      <c r="V4" s="168">
        <v>9.75</v>
      </c>
      <c r="W4" s="170">
        <v>40238</v>
      </c>
    </row>
    <row r="5" spans="1:26" s="136" customFormat="1" x14ac:dyDescent="0.2">
      <c r="A5" s="166">
        <v>23004</v>
      </c>
      <c r="B5" s="167" t="s">
        <v>1215</v>
      </c>
      <c r="C5" s="167" t="s">
        <v>1216</v>
      </c>
      <c r="D5" s="167" t="s">
        <v>1217</v>
      </c>
      <c r="E5" s="168">
        <v>34.5</v>
      </c>
      <c r="F5" s="168">
        <v>4</v>
      </c>
      <c r="G5" s="168">
        <v>0</v>
      </c>
      <c r="H5" s="168">
        <v>0</v>
      </c>
      <c r="I5" s="168">
        <v>4</v>
      </c>
      <c r="J5" s="168">
        <v>18</v>
      </c>
      <c r="K5" s="168">
        <v>0</v>
      </c>
      <c r="L5" s="168">
        <v>0</v>
      </c>
      <c r="M5" s="168">
        <v>0</v>
      </c>
      <c r="N5" s="168">
        <v>0</v>
      </c>
      <c r="O5" s="168">
        <v>2</v>
      </c>
      <c r="P5" s="168">
        <v>24.5</v>
      </c>
      <c r="Q5" s="168">
        <v>2</v>
      </c>
      <c r="R5" s="168">
        <v>24.5</v>
      </c>
      <c r="S5" s="169" t="s">
        <v>1219</v>
      </c>
      <c r="T5" s="169">
        <v>2010</v>
      </c>
      <c r="U5" s="168">
        <v>14</v>
      </c>
      <c r="V5" s="168">
        <v>9.75</v>
      </c>
      <c r="W5" s="170">
        <v>40269</v>
      </c>
      <c r="Z5" s="164"/>
    </row>
    <row r="6" spans="1:26" s="136" customFormat="1" x14ac:dyDescent="0.2">
      <c r="A6" s="166">
        <v>23004</v>
      </c>
      <c r="B6" s="167" t="s">
        <v>1215</v>
      </c>
      <c r="C6" s="167" t="s">
        <v>1216</v>
      </c>
      <c r="D6" s="167" t="s">
        <v>1217</v>
      </c>
      <c r="E6" s="168">
        <v>34.5</v>
      </c>
      <c r="F6" s="168">
        <v>4</v>
      </c>
      <c r="G6" s="168">
        <v>0</v>
      </c>
      <c r="H6" s="168">
        <v>0</v>
      </c>
      <c r="I6" s="168">
        <v>1</v>
      </c>
      <c r="J6" s="168">
        <v>47</v>
      </c>
      <c r="K6" s="168">
        <v>0</v>
      </c>
      <c r="L6" s="168">
        <v>0</v>
      </c>
      <c r="M6" s="168">
        <v>0</v>
      </c>
      <c r="N6" s="168">
        <v>0</v>
      </c>
      <c r="O6" s="168">
        <v>1</v>
      </c>
      <c r="P6" s="168">
        <v>8.3333333333333329E-2</v>
      </c>
      <c r="Q6" s="168">
        <v>1</v>
      </c>
      <c r="R6" s="168">
        <v>8.3333333333333329E-2</v>
      </c>
      <c r="S6" s="169" t="s">
        <v>1219</v>
      </c>
      <c r="T6" s="169">
        <v>2010</v>
      </c>
      <c r="U6" s="168">
        <v>14</v>
      </c>
      <c r="V6" s="168">
        <v>9.75</v>
      </c>
      <c r="W6" s="170">
        <v>40299</v>
      </c>
    </row>
    <row r="7" spans="1:26" s="136" customFormat="1" x14ac:dyDescent="0.2">
      <c r="A7" s="166">
        <v>23004</v>
      </c>
      <c r="B7" s="167" t="s">
        <v>1215</v>
      </c>
      <c r="C7" s="167" t="s">
        <v>1216</v>
      </c>
      <c r="D7" s="167" t="s">
        <v>1217</v>
      </c>
      <c r="E7" s="168">
        <v>34.5</v>
      </c>
      <c r="F7" s="168">
        <v>4</v>
      </c>
      <c r="G7" s="168">
        <v>0</v>
      </c>
      <c r="H7" s="168">
        <v>0</v>
      </c>
      <c r="I7" s="168">
        <v>1</v>
      </c>
      <c r="J7" s="168">
        <v>23</v>
      </c>
      <c r="K7" s="168">
        <v>0</v>
      </c>
      <c r="L7" s="168">
        <v>0</v>
      </c>
      <c r="M7" s="168">
        <v>0</v>
      </c>
      <c r="N7" s="168">
        <v>0</v>
      </c>
      <c r="O7" s="168">
        <v>1</v>
      </c>
      <c r="P7" s="168">
        <v>0.35</v>
      </c>
      <c r="Q7" s="168">
        <v>1</v>
      </c>
      <c r="R7" s="168">
        <v>0.35</v>
      </c>
      <c r="S7" s="169" t="s">
        <v>1219</v>
      </c>
      <c r="T7" s="169">
        <v>2010</v>
      </c>
      <c r="U7" s="168">
        <v>14</v>
      </c>
      <c r="V7" s="168">
        <v>9.75</v>
      </c>
      <c r="W7" s="170">
        <v>40330</v>
      </c>
      <c r="Z7" s="164"/>
    </row>
    <row r="8" spans="1:26" s="136" customFormat="1" x14ac:dyDescent="0.2">
      <c r="A8" s="166">
        <v>23004</v>
      </c>
      <c r="B8" s="167" t="s">
        <v>1215</v>
      </c>
      <c r="C8" s="167" t="s">
        <v>1216</v>
      </c>
      <c r="D8" s="167" t="s">
        <v>1217</v>
      </c>
      <c r="E8" s="168">
        <v>34.5</v>
      </c>
      <c r="F8" s="168">
        <v>4</v>
      </c>
      <c r="G8" s="168">
        <v>0</v>
      </c>
      <c r="H8" s="168">
        <v>0</v>
      </c>
      <c r="I8" s="168">
        <v>3</v>
      </c>
      <c r="J8" s="168">
        <v>22</v>
      </c>
      <c r="K8" s="168">
        <v>0</v>
      </c>
      <c r="L8" s="168">
        <v>0</v>
      </c>
      <c r="M8" s="168">
        <v>0</v>
      </c>
      <c r="N8" s="168">
        <v>0</v>
      </c>
      <c r="O8" s="168">
        <v>2</v>
      </c>
      <c r="P8" s="168">
        <v>0.23333333333333334</v>
      </c>
      <c r="Q8" s="168">
        <v>2</v>
      </c>
      <c r="R8" s="168">
        <v>0.23333333333333334</v>
      </c>
      <c r="S8" s="169" t="s">
        <v>1220</v>
      </c>
      <c r="T8" s="169">
        <v>2010</v>
      </c>
      <c r="U8" s="168">
        <v>14</v>
      </c>
      <c r="V8" s="168">
        <v>9.75</v>
      </c>
      <c r="W8" s="170">
        <v>40360</v>
      </c>
    </row>
    <row r="9" spans="1:26" s="136" customFormat="1" x14ac:dyDescent="0.2">
      <c r="A9" s="166">
        <v>23004</v>
      </c>
      <c r="B9" s="167" t="s">
        <v>1215</v>
      </c>
      <c r="C9" s="167" t="s">
        <v>1216</v>
      </c>
      <c r="D9" s="167" t="s">
        <v>1217</v>
      </c>
      <c r="E9" s="168">
        <v>34.5</v>
      </c>
      <c r="F9" s="168">
        <v>4</v>
      </c>
      <c r="G9" s="168">
        <v>0</v>
      </c>
      <c r="H9" s="168">
        <v>0</v>
      </c>
      <c r="I9" s="168">
        <v>0</v>
      </c>
      <c r="J9" s="168">
        <v>0</v>
      </c>
      <c r="K9" s="168">
        <v>0</v>
      </c>
      <c r="L9" s="168">
        <v>0</v>
      </c>
      <c r="M9" s="168">
        <v>0</v>
      </c>
      <c r="N9" s="168">
        <v>0</v>
      </c>
      <c r="O9" s="168">
        <v>2</v>
      </c>
      <c r="P9" s="168">
        <v>0.48333333333333334</v>
      </c>
      <c r="Q9" s="168">
        <v>2</v>
      </c>
      <c r="R9" s="168">
        <v>0.48333333333333334</v>
      </c>
      <c r="S9" s="169" t="s">
        <v>1220</v>
      </c>
      <c r="T9" s="169">
        <v>2010</v>
      </c>
      <c r="U9" s="168">
        <v>14</v>
      </c>
      <c r="V9" s="168">
        <v>9.75</v>
      </c>
      <c r="W9" s="170">
        <v>40391</v>
      </c>
    </row>
    <row r="10" spans="1:26" s="136" customFormat="1" x14ac:dyDescent="0.2">
      <c r="A10" s="166">
        <v>23004</v>
      </c>
      <c r="B10" s="167" t="s">
        <v>1215</v>
      </c>
      <c r="C10" s="167" t="s">
        <v>1216</v>
      </c>
      <c r="D10" s="167" t="s">
        <v>1217</v>
      </c>
      <c r="E10" s="168">
        <v>34.5</v>
      </c>
      <c r="F10" s="168">
        <v>4</v>
      </c>
      <c r="G10" s="168">
        <v>0</v>
      </c>
      <c r="H10" s="168">
        <v>0</v>
      </c>
      <c r="I10" s="168">
        <v>1</v>
      </c>
      <c r="J10" s="168">
        <v>11</v>
      </c>
      <c r="K10" s="168">
        <v>0</v>
      </c>
      <c r="L10" s="168">
        <v>0</v>
      </c>
      <c r="M10" s="168">
        <v>0</v>
      </c>
      <c r="N10" s="168">
        <v>0</v>
      </c>
      <c r="O10" s="168">
        <v>1</v>
      </c>
      <c r="P10" s="168">
        <v>0.11666666666666667</v>
      </c>
      <c r="Q10" s="168">
        <v>1</v>
      </c>
      <c r="R10" s="168">
        <v>0.11666666666666667</v>
      </c>
      <c r="S10" s="169" t="s">
        <v>1220</v>
      </c>
      <c r="T10" s="169">
        <v>2010</v>
      </c>
      <c r="U10" s="168">
        <v>14</v>
      </c>
      <c r="V10" s="168">
        <v>9.75</v>
      </c>
      <c r="W10" s="170">
        <v>40422</v>
      </c>
    </row>
    <row r="11" spans="1:26" s="136" customFormat="1" x14ac:dyDescent="0.2">
      <c r="A11" s="166">
        <v>23004</v>
      </c>
      <c r="B11" s="167" t="s">
        <v>1215</v>
      </c>
      <c r="C11" s="167" t="s">
        <v>1216</v>
      </c>
      <c r="D11" s="167" t="s">
        <v>1217</v>
      </c>
      <c r="E11" s="168">
        <v>34.5</v>
      </c>
      <c r="F11" s="168">
        <v>4</v>
      </c>
      <c r="G11" s="168">
        <v>0</v>
      </c>
      <c r="H11" s="168">
        <v>0</v>
      </c>
      <c r="I11" s="168">
        <v>0</v>
      </c>
      <c r="J11" s="168">
        <v>0</v>
      </c>
      <c r="K11" s="168">
        <v>0</v>
      </c>
      <c r="L11" s="168">
        <v>0</v>
      </c>
      <c r="M11" s="168">
        <v>0</v>
      </c>
      <c r="N11" s="168">
        <v>0</v>
      </c>
      <c r="O11" s="168">
        <v>0</v>
      </c>
      <c r="P11" s="168">
        <v>0</v>
      </c>
      <c r="Q11" s="168">
        <v>0</v>
      </c>
      <c r="R11" s="168">
        <v>0</v>
      </c>
      <c r="S11" s="169" t="s">
        <v>1221</v>
      </c>
      <c r="T11" s="169">
        <v>2010</v>
      </c>
      <c r="U11" s="168">
        <v>16</v>
      </c>
      <c r="V11" s="168">
        <v>9.75</v>
      </c>
      <c r="W11" s="170">
        <v>40452</v>
      </c>
    </row>
    <row r="12" spans="1:26" s="136" customFormat="1" x14ac:dyDescent="0.2">
      <c r="A12" s="166">
        <v>23004</v>
      </c>
      <c r="B12" s="167" t="s">
        <v>1215</v>
      </c>
      <c r="C12" s="167" t="s">
        <v>1216</v>
      </c>
      <c r="D12" s="167" t="s">
        <v>1217</v>
      </c>
      <c r="E12" s="168">
        <v>34.5</v>
      </c>
      <c r="F12" s="168">
        <v>4</v>
      </c>
      <c r="G12" s="168">
        <v>0</v>
      </c>
      <c r="H12" s="168">
        <v>0</v>
      </c>
      <c r="I12" s="168">
        <v>0</v>
      </c>
      <c r="J12" s="168">
        <v>0</v>
      </c>
      <c r="K12" s="168">
        <v>0</v>
      </c>
      <c r="L12" s="168">
        <v>0</v>
      </c>
      <c r="M12" s="168">
        <v>1</v>
      </c>
      <c r="N12" s="168">
        <v>3.0333333333333332</v>
      </c>
      <c r="O12" s="168">
        <v>4</v>
      </c>
      <c r="P12" s="168">
        <v>1</v>
      </c>
      <c r="Q12" s="168">
        <v>5</v>
      </c>
      <c r="R12" s="168">
        <v>4.0333333333333332</v>
      </c>
      <c r="S12" s="169" t="s">
        <v>1221</v>
      </c>
      <c r="T12" s="169">
        <v>2010</v>
      </c>
      <c r="U12" s="168">
        <v>16</v>
      </c>
      <c r="V12" s="168">
        <v>9.75</v>
      </c>
      <c r="W12" s="170">
        <v>40483</v>
      </c>
    </row>
    <row r="13" spans="1:26" s="136" customFormat="1" x14ac:dyDescent="0.2">
      <c r="A13" s="166">
        <v>23004</v>
      </c>
      <c r="B13" s="167" t="s">
        <v>1215</v>
      </c>
      <c r="C13" s="167" t="s">
        <v>1216</v>
      </c>
      <c r="D13" s="167" t="s">
        <v>1217</v>
      </c>
      <c r="E13" s="168">
        <v>34.5</v>
      </c>
      <c r="F13" s="168">
        <v>4</v>
      </c>
      <c r="G13" s="168">
        <v>0</v>
      </c>
      <c r="H13" s="168">
        <v>0</v>
      </c>
      <c r="I13" s="168">
        <v>0</v>
      </c>
      <c r="J13" s="168">
        <v>0</v>
      </c>
      <c r="K13" s="168">
        <v>0</v>
      </c>
      <c r="L13" s="168">
        <v>0</v>
      </c>
      <c r="M13" s="168">
        <v>0</v>
      </c>
      <c r="N13" s="168">
        <v>0</v>
      </c>
      <c r="O13" s="168">
        <v>0</v>
      </c>
      <c r="P13" s="168">
        <v>1.2666666666666666</v>
      </c>
      <c r="Q13" s="168">
        <v>0</v>
      </c>
      <c r="R13" s="168">
        <v>1.2666666666666666</v>
      </c>
      <c r="S13" s="169" t="s">
        <v>1221</v>
      </c>
      <c r="T13" s="169">
        <v>2010</v>
      </c>
      <c r="U13" s="168">
        <v>16</v>
      </c>
      <c r="V13" s="168">
        <v>9.75</v>
      </c>
      <c r="W13" s="170">
        <v>40513</v>
      </c>
    </row>
    <row r="14" spans="1:26" s="136" customFormat="1" x14ac:dyDescent="0.2">
      <c r="A14" s="166">
        <v>23004</v>
      </c>
      <c r="B14" s="167" t="s">
        <v>1215</v>
      </c>
      <c r="C14" s="167" t="s">
        <v>1216</v>
      </c>
      <c r="D14" s="167" t="s">
        <v>1217</v>
      </c>
      <c r="E14" s="168">
        <v>34.5</v>
      </c>
      <c r="F14" s="168">
        <v>4</v>
      </c>
      <c r="G14" s="168">
        <v>0</v>
      </c>
      <c r="H14" s="168">
        <v>0</v>
      </c>
      <c r="I14" s="168">
        <v>0</v>
      </c>
      <c r="J14" s="168">
        <v>0</v>
      </c>
      <c r="K14" s="168">
        <v>0</v>
      </c>
      <c r="L14" s="168">
        <v>0</v>
      </c>
      <c r="M14" s="168">
        <v>0</v>
      </c>
      <c r="N14" s="168">
        <v>0</v>
      </c>
      <c r="O14" s="168">
        <v>0</v>
      </c>
      <c r="P14" s="168">
        <v>0</v>
      </c>
      <c r="Q14" s="168">
        <v>0</v>
      </c>
      <c r="R14" s="168">
        <v>0</v>
      </c>
      <c r="S14" s="169" t="s">
        <v>1218</v>
      </c>
      <c r="T14" s="169">
        <v>2011</v>
      </c>
      <c r="U14" s="168">
        <v>16</v>
      </c>
      <c r="V14" s="168">
        <v>10</v>
      </c>
      <c r="W14" s="170">
        <v>40544</v>
      </c>
    </row>
    <row r="15" spans="1:26" s="136" customFormat="1" x14ac:dyDescent="0.2">
      <c r="A15" s="166">
        <v>23004</v>
      </c>
      <c r="B15" s="167" t="s">
        <v>1215</v>
      </c>
      <c r="C15" s="167" t="s">
        <v>1216</v>
      </c>
      <c r="D15" s="167" t="s">
        <v>1217</v>
      </c>
      <c r="E15" s="168">
        <v>34.5</v>
      </c>
      <c r="F15" s="168">
        <v>4</v>
      </c>
      <c r="G15" s="168">
        <v>0</v>
      </c>
      <c r="H15" s="168">
        <v>0</v>
      </c>
      <c r="I15" s="168">
        <v>0</v>
      </c>
      <c r="J15" s="168">
        <v>0</v>
      </c>
      <c r="K15" s="168">
        <v>0</v>
      </c>
      <c r="L15" s="168">
        <v>0</v>
      </c>
      <c r="M15" s="168">
        <v>0</v>
      </c>
      <c r="N15" s="168">
        <v>0</v>
      </c>
      <c r="O15" s="168">
        <v>4</v>
      </c>
      <c r="P15" s="168">
        <v>0.35</v>
      </c>
      <c r="Q15" s="168">
        <v>4</v>
      </c>
      <c r="R15" s="168">
        <v>0.35</v>
      </c>
      <c r="S15" s="169" t="s">
        <v>1218</v>
      </c>
      <c r="T15" s="169">
        <v>2011</v>
      </c>
      <c r="U15" s="168">
        <v>16</v>
      </c>
      <c r="V15" s="168">
        <v>10</v>
      </c>
      <c r="W15" s="170">
        <v>40575</v>
      </c>
    </row>
    <row r="16" spans="1:26" s="136" customFormat="1" x14ac:dyDescent="0.2">
      <c r="A16" s="166">
        <v>23004</v>
      </c>
      <c r="B16" s="167" t="s">
        <v>1215</v>
      </c>
      <c r="C16" s="167" t="s">
        <v>1216</v>
      </c>
      <c r="D16" s="167" t="s">
        <v>1217</v>
      </c>
      <c r="E16" s="168">
        <v>34.5</v>
      </c>
      <c r="F16" s="168">
        <v>4</v>
      </c>
      <c r="G16" s="168">
        <v>0</v>
      </c>
      <c r="H16" s="168">
        <v>0</v>
      </c>
      <c r="I16" s="168">
        <v>0</v>
      </c>
      <c r="J16" s="168">
        <v>0</v>
      </c>
      <c r="K16" s="168">
        <v>0</v>
      </c>
      <c r="L16" s="168">
        <v>0</v>
      </c>
      <c r="M16" s="168">
        <v>0</v>
      </c>
      <c r="N16" s="168">
        <v>0</v>
      </c>
      <c r="O16" s="168">
        <v>1</v>
      </c>
      <c r="P16" s="168">
        <v>0.15</v>
      </c>
      <c r="Q16" s="168">
        <v>1</v>
      </c>
      <c r="R16" s="168">
        <v>0.15</v>
      </c>
      <c r="S16" s="169" t="s">
        <v>1218</v>
      </c>
      <c r="T16" s="169">
        <v>2011</v>
      </c>
      <c r="U16" s="168">
        <v>16</v>
      </c>
      <c r="V16" s="168">
        <v>10</v>
      </c>
      <c r="W16" s="170">
        <v>40603</v>
      </c>
    </row>
    <row r="17" spans="1:23" s="136" customFormat="1" x14ac:dyDescent="0.2">
      <c r="A17" s="166">
        <v>23004</v>
      </c>
      <c r="B17" s="167" t="s">
        <v>1215</v>
      </c>
      <c r="C17" s="167" t="s">
        <v>1216</v>
      </c>
      <c r="D17" s="167" t="s">
        <v>1217</v>
      </c>
      <c r="E17" s="168">
        <v>34.5</v>
      </c>
      <c r="F17" s="168">
        <v>4</v>
      </c>
      <c r="G17" s="168">
        <v>0</v>
      </c>
      <c r="H17" s="168">
        <v>0</v>
      </c>
      <c r="I17" s="168">
        <v>0</v>
      </c>
      <c r="J17" s="168">
        <v>0</v>
      </c>
      <c r="K17" s="168">
        <v>0</v>
      </c>
      <c r="L17" s="168">
        <v>0</v>
      </c>
      <c r="M17" s="168">
        <v>0</v>
      </c>
      <c r="N17" s="168">
        <v>0</v>
      </c>
      <c r="O17" s="168">
        <v>5</v>
      </c>
      <c r="P17" s="168">
        <v>0.98333333333333328</v>
      </c>
      <c r="Q17" s="168">
        <v>5</v>
      </c>
      <c r="R17" s="168">
        <v>0.98333333333333328</v>
      </c>
      <c r="S17" s="169" t="s">
        <v>1219</v>
      </c>
      <c r="T17" s="169">
        <v>2011</v>
      </c>
      <c r="U17" s="168">
        <v>16</v>
      </c>
      <c r="V17" s="168">
        <v>9.5</v>
      </c>
      <c r="W17" s="170">
        <v>40634</v>
      </c>
    </row>
    <row r="18" spans="1:23" s="136" customFormat="1" x14ac:dyDescent="0.2">
      <c r="A18" s="166">
        <v>23004</v>
      </c>
      <c r="B18" s="167" t="s">
        <v>1215</v>
      </c>
      <c r="C18" s="167" t="s">
        <v>1216</v>
      </c>
      <c r="D18" s="167" t="s">
        <v>1217</v>
      </c>
      <c r="E18" s="168">
        <v>34.5</v>
      </c>
      <c r="F18" s="168">
        <v>4</v>
      </c>
      <c r="G18" s="168">
        <v>0</v>
      </c>
      <c r="H18" s="168">
        <v>0</v>
      </c>
      <c r="I18" s="168">
        <v>0</v>
      </c>
      <c r="J18" s="168">
        <v>0</v>
      </c>
      <c r="K18" s="168">
        <v>0</v>
      </c>
      <c r="L18" s="168">
        <v>0</v>
      </c>
      <c r="M18" s="168">
        <v>2</v>
      </c>
      <c r="N18" s="168">
        <v>13.816666666666666</v>
      </c>
      <c r="O18" s="168">
        <v>5</v>
      </c>
      <c r="P18" s="168">
        <v>1.6833333333333333</v>
      </c>
      <c r="Q18" s="168">
        <v>7</v>
      </c>
      <c r="R18" s="168">
        <v>15.5</v>
      </c>
      <c r="S18" s="169" t="s">
        <v>1219</v>
      </c>
      <c r="T18" s="169">
        <v>2011</v>
      </c>
      <c r="U18" s="168">
        <v>16</v>
      </c>
      <c r="V18" s="168">
        <v>9.5</v>
      </c>
      <c r="W18" s="170">
        <v>40664</v>
      </c>
    </row>
    <row r="19" spans="1:23" s="136" customFormat="1" x14ac:dyDescent="0.2">
      <c r="A19" s="166">
        <v>23004</v>
      </c>
      <c r="B19" s="167" t="s">
        <v>1215</v>
      </c>
      <c r="C19" s="167" t="s">
        <v>1216</v>
      </c>
      <c r="D19" s="167" t="s">
        <v>1217</v>
      </c>
      <c r="E19" s="168">
        <v>34.5</v>
      </c>
      <c r="F19" s="168">
        <v>4</v>
      </c>
      <c r="G19" s="168">
        <v>0</v>
      </c>
      <c r="H19" s="168">
        <v>0</v>
      </c>
      <c r="I19" s="168">
        <v>0</v>
      </c>
      <c r="J19" s="168">
        <v>0</v>
      </c>
      <c r="K19" s="168">
        <v>0</v>
      </c>
      <c r="L19" s="168">
        <v>0</v>
      </c>
      <c r="M19" s="168">
        <v>0</v>
      </c>
      <c r="N19" s="168">
        <v>0</v>
      </c>
      <c r="O19" s="168">
        <v>1</v>
      </c>
      <c r="P19" s="168">
        <v>8.3333333333333329E-2</v>
      </c>
      <c r="Q19" s="168">
        <v>1</v>
      </c>
      <c r="R19" s="168">
        <v>8.3333333333333329E-2</v>
      </c>
      <c r="S19" s="169" t="s">
        <v>1219</v>
      </c>
      <c r="T19" s="169">
        <v>2011</v>
      </c>
      <c r="U19" s="168">
        <v>16</v>
      </c>
      <c r="V19" s="168">
        <v>9.5</v>
      </c>
      <c r="W19" s="170">
        <v>40695</v>
      </c>
    </row>
    <row r="20" spans="1:23" s="136" customFormat="1" x14ac:dyDescent="0.2">
      <c r="A20" s="166">
        <v>23004</v>
      </c>
      <c r="B20" s="167" t="s">
        <v>1215</v>
      </c>
      <c r="C20" s="167" t="s">
        <v>1216</v>
      </c>
      <c r="D20" s="167" t="s">
        <v>1217</v>
      </c>
      <c r="E20" s="168">
        <v>34.5</v>
      </c>
      <c r="F20" s="168">
        <v>4</v>
      </c>
      <c r="G20" s="168">
        <v>0</v>
      </c>
      <c r="H20" s="168">
        <v>0</v>
      </c>
      <c r="I20" s="168">
        <v>0</v>
      </c>
      <c r="J20" s="168">
        <v>0</v>
      </c>
      <c r="K20" s="168">
        <v>0</v>
      </c>
      <c r="L20" s="168">
        <v>0</v>
      </c>
      <c r="M20" s="168">
        <v>2</v>
      </c>
      <c r="N20" s="168">
        <v>11.516666666666667</v>
      </c>
      <c r="O20" s="168">
        <v>12</v>
      </c>
      <c r="P20" s="168">
        <v>1.3</v>
      </c>
      <c r="Q20" s="168">
        <v>14</v>
      </c>
      <c r="R20" s="168">
        <v>12.816666666666666</v>
      </c>
      <c r="S20" s="169" t="s">
        <v>1220</v>
      </c>
      <c r="T20" s="169">
        <v>2011</v>
      </c>
      <c r="U20" s="168">
        <v>12</v>
      </c>
      <c r="V20" s="168">
        <v>9.5</v>
      </c>
      <c r="W20" s="170">
        <v>40725</v>
      </c>
    </row>
    <row r="21" spans="1:23" s="136" customFormat="1" x14ac:dyDescent="0.2">
      <c r="A21" s="166">
        <v>23004</v>
      </c>
      <c r="B21" s="167" t="s">
        <v>1215</v>
      </c>
      <c r="C21" s="167" t="s">
        <v>1216</v>
      </c>
      <c r="D21" s="167" t="s">
        <v>1217</v>
      </c>
      <c r="E21" s="168">
        <v>34.5</v>
      </c>
      <c r="F21" s="168">
        <v>4</v>
      </c>
      <c r="G21" s="168">
        <v>0</v>
      </c>
      <c r="H21" s="168">
        <v>0</v>
      </c>
      <c r="I21" s="168">
        <v>0</v>
      </c>
      <c r="J21" s="168">
        <v>0</v>
      </c>
      <c r="K21" s="168">
        <v>0</v>
      </c>
      <c r="L21" s="168">
        <v>0</v>
      </c>
      <c r="M21" s="168">
        <v>0</v>
      </c>
      <c r="N21" s="168">
        <v>0</v>
      </c>
      <c r="O21" s="168">
        <v>0</v>
      </c>
      <c r="P21" s="168">
        <v>0</v>
      </c>
      <c r="Q21" s="168">
        <v>0</v>
      </c>
      <c r="R21" s="168">
        <v>0</v>
      </c>
      <c r="S21" s="169" t="s">
        <v>1220</v>
      </c>
      <c r="T21" s="169">
        <v>2011</v>
      </c>
      <c r="U21" s="168">
        <v>12</v>
      </c>
      <c r="V21" s="168">
        <v>9.5</v>
      </c>
      <c r="W21" s="170">
        <v>40756</v>
      </c>
    </row>
    <row r="22" spans="1:23" x14ac:dyDescent="0.2">
      <c r="A22" s="171">
        <v>34201</v>
      </c>
      <c r="B22" s="172" t="s">
        <v>1222</v>
      </c>
      <c r="C22" s="172" t="s">
        <v>1216</v>
      </c>
      <c r="D22" s="172" t="s">
        <v>1223</v>
      </c>
      <c r="E22" s="173">
        <v>34.5</v>
      </c>
      <c r="F22" s="173">
        <v>4</v>
      </c>
      <c r="G22" s="173">
        <v>0</v>
      </c>
      <c r="H22" s="173">
        <v>0</v>
      </c>
      <c r="I22" s="173">
        <v>0</v>
      </c>
      <c r="J22" s="173">
        <v>0</v>
      </c>
      <c r="K22" s="173">
        <v>0</v>
      </c>
      <c r="L22" s="173">
        <v>0</v>
      </c>
      <c r="M22" s="173">
        <v>0</v>
      </c>
      <c r="N22" s="173">
        <v>0</v>
      </c>
      <c r="O22" s="173">
        <v>0</v>
      </c>
      <c r="P22" s="173">
        <v>1.4</v>
      </c>
      <c r="Q22" s="173">
        <v>0</v>
      </c>
      <c r="R22" s="173">
        <v>1.4</v>
      </c>
      <c r="S22" s="169" t="s">
        <v>1221</v>
      </c>
      <c r="T22" s="169">
        <v>2010</v>
      </c>
      <c r="U22" s="173">
        <v>16</v>
      </c>
      <c r="V22" s="173">
        <v>9.75</v>
      </c>
      <c r="W22" s="174">
        <v>40513</v>
      </c>
    </row>
    <row r="23" spans="1:23" x14ac:dyDescent="0.2">
      <c r="A23" s="171">
        <v>34201</v>
      </c>
      <c r="B23" s="172" t="s">
        <v>1222</v>
      </c>
      <c r="C23" s="172" t="s">
        <v>1216</v>
      </c>
      <c r="D23" s="172" t="s">
        <v>1223</v>
      </c>
      <c r="E23" s="173">
        <v>34.5</v>
      </c>
      <c r="F23" s="173">
        <v>4</v>
      </c>
      <c r="G23" s="173">
        <v>10</v>
      </c>
      <c r="H23" s="173">
        <v>10</v>
      </c>
      <c r="I23" s="173">
        <v>0</v>
      </c>
      <c r="J23" s="173">
        <v>0</v>
      </c>
      <c r="K23" s="173">
        <v>0</v>
      </c>
      <c r="L23" s="173">
        <v>0</v>
      </c>
      <c r="M23" s="173">
        <v>0</v>
      </c>
      <c r="N23" s="173">
        <v>0</v>
      </c>
      <c r="O23" s="173">
        <v>0</v>
      </c>
      <c r="P23" s="173">
        <v>0</v>
      </c>
      <c r="Q23" s="173">
        <v>0</v>
      </c>
      <c r="R23" s="173">
        <v>0</v>
      </c>
      <c r="S23" s="169" t="s">
        <v>1218</v>
      </c>
      <c r="T23" s="169">
        <v>2011</v>
      </c>
      <c r="U23" s="173">
        <v>16</v>
      </c>
      <c r="V23" s="173">
        <v>10</v>
      </c>
      <c r="W23" s="174">
        <v>40544</v>
      </c>
    </row>
    <row r="24" spans="1:23" x14ac:dyDescent="0.2">
      <c r="A24" s="171">
        <v>34201</v>
      </c>
      <c r="B24" s="172" t="s">
        <v>1222</v>
      </c>
      <c r="C24" s="172" t="s">
        <v>1216</v>
      </c>
      <c r="D24" s="172" t="s">
        <v>1223</v>
      </c>
      <c r="E24" s="173">
        <v>34.5</v>
      </c>
      <c r="F24" s="173">
        <v>4</v>
      </c>
      <c r="G24" s="173">
        <v>0</v>
      </c>
      <c r="H24" s="173">
        <v>0</v>
      </c>
      <c r="I24" s="173">
        <v>0</v>
      </c>
      <c r="J24" s="173">
        <v>0</v>
      </c>
      <c r="K24" s="173">
        <v>0</v>
      </c>
      <c r="L24" s="173">
        <v>0</v>
      </c>
      <c r="M24" s="173">
        <v>0</v>
      </c>
      <c r="N24" s="173">
        <v>0</v>
      </c>
      <c r="O24" s="173">
        <v>4</v>
      </c>
      <c r="P24" s="173">
        <v>1.65</v>
      </c>
      <c r="Q24" s="173">
        <v>4</v>
      </c>
      <c r="R24" s="173">
        <v>1.65</v>
      </c>
      <c r="S24" s="169" t="s">
        <v>1218</v>
      </c>
      <c r="T24" s="169">
        <v>2011</v>
      </c>
      <c r="U24" s="173">
        <v>16</v>
      </c>
      <c r="V24" s="173">
        <v>10</v>
      </c>
      <c r="W24" s="174">
        <v>40575</v>
      </c>
    </row>
    <row r="25" spans="1:23" x14ac:dyDescent="0.2">
      <c r="A25" s="171">
        <v>34201</v>
      </c>
      <c r="B25" s="172" t="s">
        <v>1222</v>
      </c>
      <c r="C25" s="172" t="s">
        <v>1216</v>
      </c>
      <c r="D25" s="172" t="s">
        <v>1223</v>
      </c>
      <c r="E25" s="173">
        <v>34.5</v>
      </c>
      <c r="F25" s="173">
        <v>4</v>
      </c>
      <c r="G25" s="173">
        <v>0</v>
      </c>
      <c r="H25" s="173">
        <v>0</v>
      </c>
      <c r="I25" s="173">
        <v>0</v>
      </c>
      <c r="J25" s="173">
        <v>0</v>
      </c>
      <c r="K25" s="173">
        <v>0</v>
      </c>
      <c r="L25" s="173">
        <v>0</v>
      </c>
      <c r="M25" s="173">
        <v>0</v>
      </c>
      <c r="N25" s="173">
        <v>0</v>
      </c>
      <c r="O25" s="173">
        <v>3</v>
      </c>
      <c r="P25" s="173">
        <v>0.46666666666666667</v>
      </c>
      <c r="Q25" s="173">
        <v>3</v>
      </c>
      <c r="R25" s="173">
        <v>0.46666666666666667</v>
      </c>
      <c r="S25" s="169" t="s">
        <v>1218</v>
      </c>
      <c r="T25" s="169">
        <v>2011</v>
      </c>
      <c r="U25" s="173">
        <v>16</v>
      </c>
      <c r="V25" s="173">
        <v>10</v>
      </c>
      <c r="W25" s="174">
        <v>40603</v>
      </c>
    </row>
    <row r="26" spans="1:23" x14ac:dyDescent="0.2">
      <c r="A26" s="171">
        <v>34201</v>
      </c>
      <c r="B26" s="172" t="s">
        <v>1222</v>
      </c>
      <c r="C26" s="172" t="s">
        <v>1216</v>
      </c>
      <c r="D26" s="172" t="s">
        <v>1223</v>
      </c>
      <c r="E26" s="173">
        <v>34.5</v>
      </c>
      <c r="F26" s="173">
        <v>4</v>
      </c>
      <c r="G26" s="173">
        <v>0</v>
      </c>
      <c r="H26" s="173">
        <v>0</v>
      </c>
      <c r="I26" s="173">
        <v>0</v>
      </c>
      <c r="J26" s="173">
        <v>0</v>
      </c>
      <c r="K26" s="173">
        <v>1</v>
      </c>
      <c r="L26" s="173">
        <v>5</v>
      </c>
      <c r="M26" s="173">
        <v>0</v>
      </c>
      <c r="N26" s="173">
        <v>0</v>
      </c>
      <c r="O26" s="173">
        <v>3</v>
      </c>
      <c r="P26" s="173">
        <v>5.0333333333333332</v>
      </c>
      <c r="Q26" s="173">
        <v>3</v>
      </c>
      <c r="R26" s="173">
        <v>5.0333333333333332</v>
      </c>
      <c r="S26" s="169" t="s">
        <v>1219</v>
      </c>
      <c r="T26" s="169">
        <v>2011</v>
      </c>
      <c r="U26" s="173">
        <v>16</v>
      </c>
      <c r="V26" s="173">
        <v>9.5</v>
      </c>
      <c r="W26" s="174">
        <v>40634</v>
      </c>
    </row>
    <row r="27" spans="1:23" x14ac:dyDescent="0.2">
      <c r="A27" s="171">
        <v>34201</v>
      </c>
      <c r="B27" s="172" t="s">
        <v>1222</v>
      </c>
      <c r="C27" s="172" t="s">
        <v>1216</v>
      </c>
      <c r="D27" s="172" t="s">
        <v>1223</v>
      </c>
      <c r="E27" s="173">
        <v>34.5</v>
      </c>
      <c r="F27" s="173">
        <v>4</v>
      </c>
      <c r="G27" s="173">
        <v>0</v>
      </c>
      <c r="H27" s="173">
        <v>0</v>
      </c>
      <c r="I27" s="173">
        <v>0</v>
      </c>
      <c r="J27" s="173">
        <v>0</v>
      </c>
      <c r="K27" s="173">
        <v>4</v>
      </c>
      <c r="L27" s="173">
        <v>1247</v>
      </c>
      <c r="M27" s="173">
        <v>0</v>
      </c>
      <c r="N27" s="173">
        <v>0</v>
      </c>
      <c r="O27" s="173">
        <v>1</v>
      </c>
      <c r="P27" s="173">
        <v>0.33333333333333331</v>
      </c>
      <c r="Q27" s="173">
        <v>1</v>
      </c>
      <c r="R27" s="173">
        <v>0.33333333333333331</v>
      </c>
      <c r="S27" s="169" t="s">
        <v>1219</v>
      </c>
      <c r="T27" s="169">
        <v>2011</v>
      </c>
      <c r="U27" s="173">
        <v>16</v>
      </c>
      <c r="V27" s="173">
        <v>9.5</v>
      </c>
      <c r="W27" s="174">
        <v>40664</v>
      </c>
    </row>
    <row r="28" spans="1:23" x14ac:dyDescent="0.2">
      <c r="A28" s="171">
        <v>34201</v>
      </c>
      <c r="B28" s="172" t="s">
        <v>1222</v>
      </c>
      <c r="C28" s="172" t="s">
        <v>1216</v>
      </c>
      <c r="D28" s="172" t="s">
        <v>1223</v>
      </c>
      <c r="E28" s="173">
        <v>34.5</v>
      </c>
      <c r="F28" s="173">
        <v>4</v>
      </c>
      <c r="G28" s="173">
        <v>0</v>
      </c>
      <c r="H28" s="173">
        <v>0</v>
      </c>
      <c r="I28" s="173">
        <v>0</v>
      </c>
      <c r="J28" s="173">
        <v>0</v>
      </c>
      <c r="K28" s="173">
        <v>0</v>
      </c>
      <c r="L28" s="173">
        <v>0</v>
      </c>
      <c r="M28" s="173">
        <v>0</v>
      </c>
      <c r="N28" s="173">
        <v>0</v>
      </c>
      <c r="O28" s="173">
        <v>0</v>
      </c>
      <c r="P28" s="173">
        <v>0</v>
      </c>
      <c r="Q28" s="173">
        <v>0</v>
      </c>
      <c r="R28" s="173">
        <v>0</v>
      </c>
      <c r="S28" s="169" t="s">
        <v>1219</v>
      </c>
      <c r="T28" s="169">
        <v>2011</v>
      </c>
      <c r="U28" s="173">
        <v>16</v>
      </c>
      <c r="V28" s="173">
        <v>9.5</v>
      </c>
      <c r="W28" s="174">
        <v>40695</v>
      </c>
    </row>
    <row r="29" spans="1:23" x14ac:dyDescent="0.2">
      <c r="A29" s="171">
        <v>34201</v>
      </c>
      <c r="B29" s="172" t="s">
        <v>1222</v>
      </c>
      <c r="C29" s="172" t="s">
        <v>1216</v>
      </c>
      <c r="D29" s="172" t="s">
        <v>1223</v>
      </c>
      <c r="E29" s="173">
        <v>34.5</v>
      </c>
      <c r="F29" s="173">
        <v>4</v>
      </c>
      <c r="G29" s="173">
        <v>0</v>
      </c>
      <c r="H29" s="173">
        <v>0</v>
      </c>
      <c r="I29" s="173">
        <v>0</v>
      </c>
      <c r="J29" s="173">
        <v>0</v>
      </c>
      <c r="K29" s="173">
        <v>0</v>
      </c>
      <c r="L29" s="173">
        <v>0</v>
      </c>
      <c r="M29" s="173">
        <v>0</v>
      </c>
      <c r="N29" s="173">
        <v>0</v>
      </c>
      <c r="O29" s="173">
        <v>3</v>
      </c>
      <c r="P29" s="173">
        <v>0.65</v>
      </c>
      <c r="Q29" s="173">
        <v>3</v>
      </c>
      <c r="R29" s="173">
        <v>0.65</v>
      </c>
      <c r="S29" s="169" t="s">
        <v>1220</v>
      </c>
      <c r="T29" s="169">
        <v>2011</v>
      </c>
      <c r="U29" s="173">
        <v>12</v>
      </c>
      <c r="V29" s="173">
        <v>9.5</v>
      </c>
      <c r="W29" s="174">
        <v>40725</v>
      </c>
    </row>
    <row r="30" spans="1:23" x14ac:dyDescent="0.2">
      <c r="A30" s="171">
        <v>34201</v>
      </c>
      <c r="B30" s="172" t="s">
        <v>1222</v>
      </c>
      <c r="C30" s="172" t="s">
        <v>1216</v>
      </c>
      <c r="D30" s="172" t="s">
        <v>1223</v>
      </c>
      <c r="E30" s="173">
        <v>34.5</v>
      </c>
      <c r="F30" s="173">
        <v>4</v>
      </c>
      <c r="G30" s="173">
        <v>0</v>
      </c>
      <c r="H30" s="173">
        <v>0</v>
      </c>
      <c r="I30" s="173">
        <v>0</v>
      </c>
      <c r="J30" s="173">
        <v>0</v>
      </c>
      <c r="K30" s="173">
        <v>7</v>
      </c>
      <c r="L30" s="173">
        <v>85</v>
      </c>
      <c r="M30" s="173">
        <v>0</v>
      </c>
      <c r="N30" s="173">
        <v>0</v>
      </c>
      <c r="O30" s="173">
        <v>2</v>
      </c>
      <c r="P30" s="173">
        <v>1.1166666666666667</v>
      </c>
      <c r="Q30" s="173">
        <v>2</v>
      </c>
      <c r="R30" s="173">
        <v>1.1166666666666667</v>
      </c>
      <c r="S30" s="169" t="s">
        <v>1220</v>
      </c>
      <c r="T30" s="169">
        <v>2011</v>
      </c>
      <c r="U30" s="173">
        <v>12</v>
      </c>
      <c r="V30" s="173">
        <v>9.5</v>
      </c>
      <c r="W30" s="174">
        <v>40756</v>
      </c>
    </row>
    <row r="31" spans="1:23" x14ac:dyDescent="0.2">
      <c r="A31" s="171">
        <v>14201</v>
      </c>
      <c r="B31" s="172" t="s">
        <v>1224</v>
      </c>
      <c r="C31" s="172" t="s">
        <v>1216</v>
      </c>
      <c r="D31" s="172" t="s">
        <v>1225</v>
      </c>
      <c r="E31" s="173">
        <v>34.5</v>
      </c>
      <c r="F31" s="173">
        <v>4</v>
      </c>
      <c r="G31" s="173">
        <v>0</v>
      </c>
      <c r="H31" s="173">
        <v>0</v>
      </c>
      <c r="I31" s="173">
        <v>0</v>
      </c>
      <c r="J31" s="173">
        <v>0</v>
      </c>
      <c r="K31" s="173">
        <v>0</v>
      </c>
      <c r="L31" s="173">
        <v>0</v>
      </c>
      <c r="M31" s="173">
        <v>0</v>
      </c>
      <c r="N31" s="173">
        <v>0</v>
      </c>
      <c r="O31" s="173">
        <v>0</v>
      </c>
      <c r="P31" s="173">
        <v>0</v>
      </c>
      <c r="Q31" s="173">
        <v>0</v>
      </c>
      <c r="R31" s="173">
        <v>0</v>
      </c>
      <c r="S31" s="169" t="s">
        <v>1218</v>
      </c>
      <c r="T31" s="169">
        <v>2010</v>
      </c>
      <c r="U31" s="173">
        <v>14</v>
      </c>
      <c r="V31" s="173">
        <v>9.75</v>
      </c>
      <c r="W31" s="174">
        <v>40179</v>
      </c>
    </row>
    <row r="32" spans="1:23" x14ac:dyDescent="0.2">
      <c r="A32" s="171">
        <v>14201</v>
      </c>
      <c r="B32" s="172" t="s">
        <v>1224</v>
      </c>
      <c r="C32" s="172" t="s">
        <v>1216</v>
      </c>
      <c r="D32" s="172" t="s">
        <v>1225</v>
      </c>
      <c r="E32" s="173">
        <v>34.5</v>
      </c>
      <c r="F32" s="173">
        <v>4</v>
      </c>
      <c r="G32" s="173">
        <v>1</v>
      </c>
      <c r="H32" s="173">
        <v>1</v>
      </c>
      <c r="I32" s="173">
        <v>0</v>
      </c>
      <c r="J32" s="173">
        <v>0</v>
      </c>
      <c r="K32" s="173">
        <v>0</v>
      </c>
      <c r="L32" s="173">
        <v>0</v>
      </c>
      <c r="M32" s="173">
        <v>0</v>
      </c>
      <c r="N32" s="173">
        <v>0</v>
      </c>
      <c r="O32" s="173">
        <v>0</v>
      </c>
      <c r="P32" s="173">
        <v>0</v>
      </c>
      <c r="Q32" s="173">
        <v>0</v>
      </c>
      <c r="R32" s="173">
        <v>0</v>
      </c>
      <c r="S32" s="169" t="s">
        <v>1218</v>
      </c>
      <c r="T32" s="169">
        <v>2010</v>
      </c>
      <c r="U32" s="173">
        <v>14</v>
      </c>
      <c r="V32" s="173">
        <v>9.75</v>
      </c>
      <c r="W32" s="174">
        <v>40210</v>
      </c>
    </row>
    <row r="33" spans="1:23" x14ac:dyDescent="0.2">
      <c r="A33" s="171">
        <v>14201</v>
      </c>
      <c r="B33" s="172" t="s">
        <v>1224</v>
      </c>
      <c r="C33" s="172" t="s">
        <v>1216</v>
      </c>
      <c r="D33" s="172" t="s">
        <v>1225</v>
      </c>
      <c r="E33" s="173">
        <v>34.5</v>
      </c>
      <c r="F33" s="173">
        <v>4</v>
      </c>
      <c r="G33" s="173">
        <v>1</v>
      </c>
      <c r="H33" s="173">
        <v>1</v>
      </c>
      <c r="I33" s="173">
        <v>0</v>
      </c>
      <c r="J33" s="173">
        <v>0</v>
      </c>
      <c r="K33" s="173">
        <v>0</v>
      </c>
      <c r="L33" s="173">
        <v>0</v>
      </c>
      <c r="M33" s="173">
        <v>0</v>
      </c>
      <c r="N33" s="173">
        <v>0</v>
      </c>
      <c r="O33" s="173">
        <v>0</v>
      </c>
      <c r="P33" s="173">
        <v>0</v>
      </c>
      <c r="Q33" s="173">
        <v>0</v>
      </c>
      <c r="R33" s="173">
        <v>0</v>
      </c>
      <c r="S33" s="169" t="s">
        <v>1218</v>
      </c>
      <c r="T33" s="169">
        <v>2010</v>
      </c>
      <c r="U33" s="173">
        <v>14</v>
      </c>
      <c r="V33" s="173">
        <v>9.75</v>
      </c>
      <c r="W33" s="174">
        <v>40238</v>
      </c>
    </row>
    <row r="34" spans="1:23" x14ac:dyDescent="0.2">
      <c r="A34" s="171">
        <v>14201</v>
      </c>
      <c r="B34" s="172" t="s">
        <v>1224</v>
      </c>
      <c r="C34" s="172" t="s">
        <v>1216</v>
      </c>
      <c r="D34" s="172" t="s">
        <v>1225</v>
      </c>
      <c r="E34" s="173">
        <v>34.5</v>
      </c>
      <c r="F34" s="173">
        <v>4</v>
      </c>
      <c r="G34" s="173">
        <v>1</v>
      </c>
      <c r="H34" s="173">
        <v>1</v>
      </c>
      <c r="I34" s="173">
        <v>0</v>
      </c>
      <c r="J34" s="173">
        <v>0</v>
      </c>
      <c r="K34" s="173">
        <v>0</v>
      </c>
      <c r="L34" s="173">
        <v>0</v>
      </c>
      <c r="M34" s="173">
        <v>0</v>
      </c>
      <c r="N34" s="173">
        <v>0</v>
      </c>
      <c r="O34" s="173">
        <v>0</v>
      </c>
      <c r="P34" s="173">
        <v>0</v>
      </c>
      <c r="Q34" s="173">
        <v>0</v>
      </c>
      <c r="R34" s="173">
        <v>0</v>
      </c>
      <c r="S34" s="169" t="s">
        <v>1219</v>
      </c>
      <c r="T34" s="169">
        <v>2010</v>
      </c>
      <c r="U34" s="173">
        <v>14</v>
      </c>
      <c r="V34" s="173">
        <v>9.75</v>
      </c>
      <c r="W34" s="174">
        <v>40269</v>
      </c>
    </row>
    <row r="35" spans="1:23" x14ac:dyDescent="0.2">
      <c r="A35" s="171">
        <v>14201</v>
      </c>
      <c r="B35" s="172" t="s">
        <v>1224</v>
      </c>
      <c r="C35" s="172" t="s">
        <v>1216</v>
      </c>
      <c r="D35" s="172" t="s">
        <v>1225</v>
      </c>
      <c r="E35" s="173">
        <v>34.5</v>
      </c>
      <c r="F35" s="173">
        <v>4</v>
      </c>
      <c r="G35" s="173">
        <v>0</v>
      </c>
      <c r="H35" s="173">
        <v>0</v>
      </c>
      <c r="I35" s="173">
        <v>0</v>
      </c>
      <c r="J35" s="173">
        <v>0</v>
      </c>
      <c r="K35" s="173">
        <v>0</v>
      </c>
      <c r="L35" s="173">
        <v>0</v>
      </c>
      <c r="M35" s="173">
        <v>0</v>
      </c>
      <c r="N35" s="173">
        <v>0</v>
      </c>
      <c r="O35" s="173">
        <v>2</v>
      </c>
      <c r="P35" s="173">
        <v>0.76666666666666672</v>
      </c>
      <c r="Q35" s="173">
        <v>2</v>
      </c>
      <c r="R35" s="173">
        <v>0.76666666666666672</v>
      </c>
      <c r="S35" s="169" t="s">
        <v>1219</v>
      </c>
      <c r="T35" s="169">
        <v>2010</v>
      </c>
      <c r="U35" s="173">
        <v>14</v>
      </c>
      <c r="V35" s="173">
        <v>9.75</v>
      </c>
      <c r="W35" s="174">
        <v>40299</v>
      </c>
    </row>
    <row r="36" spans="1:23" x14ac:dyDescent="0.2">
      <c r="A36" s="171">
        <v>14201</v>
      </c>
      <c r="B36" s="172" t="s">
        <v>1224</v>
      </c>
      <c r="C36" s="172" t="s">
        <v>1216</v>
      </c>
      <c r="D36" s="172" t="s">
        <v>1225</v>
      </c>
      <c r="E36" s="173">
        <v>34.5</v>
      </c>
      <c r="F36" s="173">
        <v>4</v>
      </c>
      <c r="G36" s="173">
        <v>1</v>
      </c>
      <c r="H36" s="173">
        <v>1</v>
      </c>
      <c r="I36" s="173">
        <v>4</v>
      </c>
      <c r="J36" s="173">
        <v>36</v>
      </c>
      <c r="K36" s="173">
        <v>0</v>
      </c>
      <c r="L36" s="173">
        <v>0</v>
      </c>
      <c r="M36" s="173">
        <v>0</v>
      </c>
      <c r="N36" s="173">
        <v>0</v>
      </c>
      <c r="O36" s="173">
        <v>1</v>
      </c>
      <c r="P36" s="173">
        <v>3.3333333333333333E-2</v>
      </c>
      <c r="Q36" s="173">
        <v>1</v>
      </c>
      <c r="R36" s="173">
        <v>3.3333333333333333E-2</v>
      </c>
      <c r="S36" s="169" t="s">
        <v>1219</v>
      </c>
      <c r="T36" s="169">
        <v>2010</v>
      </c>
      <c r="U36" s="173">
        <v>14</v>
      </c>
      <c r="V36" s="173">
        <v>9.75</v>
      </c>
      <c r="W36" s="174">
        <v>40330</v>
      </c>
    </row>
    <row r="37" spans="1:23" x14ac:dyDescent="0.2">
      <c r="A37" s="171">
        <v>14201</v>
      </c>
      <c r="B37" s="172" t="s">
        <v>1224</v>
      </c>
      <c r="C37" s="172" t="s">
        <v>1216</v>
      </c>
      <c r="D37" s="172" t="s">
        <v>1225</v>
      </c>
      <c r="E37" s="173">
        <v>34.5</v>
      </c>
      <c r="F37" s="173">
        <v>4</v>
      </c>
      <c r="G37" s="173">
        <v>1</v>
      </c>
      <c r="H37" s="173">
        <v>1</v>
      </c>
      <c r="I37" s="173">
        <v>0</v>
      </c>
      <c r="J37" s="173">
        <v>0</v>
      </c>
      <c r="K37" s="173">
        <v>0</v>
      </c>
      <c r="L37" s="173">
        <v>0</v>
      </c>
      <c r="M37" s="173">
        <v>0</v>
      </c>
      <c r="N37" s="173">
        <v>0</v>
      </c>
      <c r="O37" s="173">
        <v>0</v>
      </c>
      <c r="P37" s="173">
        <v>0</v>
      </c>
      <c r="Q37" s="173">
        <v>0</v>
      </c>
      <c r="R37" s="173">
        <v>0</v>
      </c>
      <c r="S37" s="169" t="s">
        <v>1220</v>
      </c>
      <c r="T37" s="169">
        <v>2010</v>
      </c>
      <c r="U37" s="173">
        <v>14</v>
      </c>
      <c r="V37" s="173">
        <v>9.75</v>
      </c>
      <c r="W37" s="174">
        <v>40360</v>
      </c>
    </row>
    <row r="38" spans="1:23" x14ac:dyDescent="0.2">
      <c r="A38" s="171">
        <v>14201</v>
      </c>
      <c r="B38" s="172" t="s">
        <v>1224</v>
      </c>
      <c r="C38" s="172" t="s">
        <v>1216</v>
      </c>
      <c r="D38" s="172" t="s">
        <v>1225</v>
      </c>
      <c r="E38" s="173">
        <v>34.5</v>
      </c>
      <c r="F38" s="173">
        <v>4</v>
      </c>
      <c r="G38" s="173">
        <v>0</v>
      </c>
      <c r="H38" s="173">
        <v>0</v>
      </c>
      <c r="I38" s="173">
        <v>0</v>
      </c>
      <c r="J38" s="173">
        <v>0</v>
      </c>
      <c r="K38" s="173">
        <v>0</v>
      </c>
      <c r="L38" s="173">
        <v>0</v>
      </c>
      <c r="M38" s="173">
        <v>1</v>
      </c>
      <c r="N38" s="173">
        <v>2.3833333333333333</v>
      </c>
      <c r="O38" s="173">
        <v>1</v>
      </c>
      <c r="P38" s="173">
        <v>0.23333333333333334</v>
      </c>
      <c r="Q38" s="173">
        <v>2</v>
      </c>
      <c r="R38" s="173">
        <v>2.6166666666666667</v>
      </c>
      <c r="S38" s="169" t="s">
        <v>1220</v>
      </c>
      <c r="T38" s="169">
        <v>2010</v>
      </c>
      <c r="U38" s="173">
        <v>14</v>
      </c>
      <c r="V38" s="173">
        <v>9.75</v>
      </c>
      <c r="W38" s="174">
        <v>40391</v>
      </c>
    </row>
    <row r="39" spans="1:23" x14ac:dyDescent="0.2">
      <c r="A39" s="171">
        <v>14201</v>
      </c>
      <c r="B39" s="172" t="s">
        <v>1224</v>
      </c>
      <c r="C39" s="172" t="s">
        <v>1216</v>
      </c>
      <c r="D39" s="172" t="s">
        <v>1225</v>
      </c>
      <c r="E39" s="173">
        <v>34.5</v>
      </c>
      <c r="F39" s="173">
        <v>4</v>
      </c>
      <c r="G39" s="173">
        <v>1</v>
      </c>
      <c r="H39" s="173">
        <v>1</v>
      </c>
      <c r="I39" s="173">
        <v>2</v>
      </c>
      <c r="J39" s="173">
        <v>36</v>
      </c>
      <c r="K39" s="173">
        <v>0</v>
      </c>
      <c r="L39" s="173">
        <v>0</v>
      </c>
      <c r="M39" s="173">
        <v>0</v>
      </c>
      <c r="N39" s="173">
        <v>0</v>
      </c>
      <c r="O39" s="173">
        <v>0</v>
      </c>
      <c r="P39" s="173">
        <v>0</v>
      </c>
      <c r="Q39" s="173">
        <v>0</v>
      </c>
      <c r="R39" s="173">
        <v>0</v>
      </c>
      <c r="S39" s="169" t="s">
        <v>1220</v>
      </c>
      <c r="T39" s="169">
        <v>2010</v>
      </c>
      <c r="U39" s="173">
        <v>14</v>
      </c>
      <c r="V39" s="173">
        <v>9.75</v>
      </c>
      <c r="W39" s="174">
        <v>40422</v>
      </c>
    </row>
    <row r="40" spans="1:23" x14ac:dyDescent="0.2">
      <c r="A40" s="171">
        <v>14201</v>
      </c>
      <c r="B40" s="172" t="s">
        <v>1224</v>
      </c>
      <c r="C40" s="172" t="s">
        <v>1216</v>
      </c>
      <c r="D40" s="172" t="s">
        <v>1225</v>
      </c>
      <c r="E40" s="173">
        <v>34.5</v>
      </c>
      <c r="F40" s="173">
        <v>4</v>
      </c>
      <c r="G40" s="173">
        <v>0</v>
      </c>
      <c r="H40" s="173">
        <v>0</v>
      </c>
      <c r="I40" s="173">
        <v>0</v>
      </c>
      <c r="J40" s="173">
        <v>0</v>
      </c>
      <c r="K40" s="173">
        <v>0</v>
      </c>
      <c r="L40" s="173">
        <v>0</v>
      </c>
      <c r="M40" s="173">
        <v>0</v>
      </c>
      <c r="N40" s="173">
        <v>0</v>
      </c>
      <c r="O40" s="173">
        <v>0</v>
      </c>
      <c r="P40" s="173">
        <v>0</v>
      </c>
      <c r="Q40" s="173">
        <v>0</v>
      </c>
      <c r="R40" s="173">
        <v>0</v>
      </c>
      <c r="S40" s="169" t="s">
        <v>1221</v>
      </c>
      <c r="T40" s="169">
        <v>2010</v>
      </c>
      <c r="U40" s="173">
        <v>16</v>
      </c>
      <c r="V40" s="173">
        <v>9.75</v>
      </c>
      <c r="W40" s="174">
        <v>40452</v>
      </c>
    </row>
    <row r="41" spans="1:23" x14ac:dyDescent="0.2">
      <c r="A41" s="171">
        <v>14201</v>
      </c>
      <c r="B41" s="172" t="s">
        <v>1224</v>
      </c>
      <c r="C41" s="172" t="s">
        <v>1216</v>
      </c>
      <c r="D41" s="172" t="s">
        <v>1225</v>
      </c>
      <c r="E41" s="173">
        <v>34.5</v>
      </c>
      <c r="F41" s="173">
        <v>4</v>
      </c>
      <c r="G41" s="173">
        <v>0</v>
      </c>
      <c r="H41" s="173">
        <v>0</v>
      </c>
      <c r="I41" s="173">
        <v>0</v>
      </c>
      <c r="J41" s="173">
        <v>0</v>
      </c>
      <c r="K41" s="173">
        <v>0</v>
      </c>
      <c r="L41" s="173">
        <v>0</v>
      </c>
      <c r="M41" s="173">
        <v>0</v>
      </c>
      <c r="N41" s="173">
        <v>0</v>
      </c>
      <c r="O41" s="173">
        <v>1</v>
      </c>
      <c r="P41" s="173">
        <v>0.46666666666666667</v>
      </c>
      <c r="Q41" s="173">
        <v>1</v>
      </c>
      <c r="R41" s="173">
        <v>0.46666666666666667</v>
      </c>
      <c r="S41" s="169" t="s">
        <v>1221</v>
      </c>
      <c r="T41" s="169">
        <v>2010</v>
      </c>
      <c r="U41" s="173">
        <v>16</v>
      </c>
      <c r="V41" s="173">
        <v>9.75</v>
      </c>
      <c r="W41" s="174">
        <v>40483</v>
      </c>
    </row>
    <row r="42" spans="1:23" x14ac:dyDescent="0.2">
      <c r="A42" s="171">
        <v>14201</v>
      </c>
      <c r="B42" s="172" t="s">
        <v>1224</v>
      </c>
      <c r="C42" s="172" t="s">
        <v>1216</v>
      </c>
      <c r="D42" s="172" t="s">
        <v>1225</v>
      </c>
      <c r="E42" s="173">
        <v>34.5</v>
      </c>
      <c r="F42" s="173">
        <v>4</v>
      </c>
      <c r="G42" s="173">
        <v>1</v>
      </c>
      <c r="H42" s="173">
        <v>1</v>
      </c>
      <c r="I42" s="173">
        <v>0</v>
      </c>
      <c r="J42" s="173">
        <v>0</v>
      </c>
      <c r="K42" s="173">
        <v>0</v>
      </c>
      <c r="L42" s="173">
        <v>0</v>
      </c>
      <c r="M42" s="173">
        <v>1</v>
      </c>
      <c r="N42" s="173">
        <v>1.7666666666666666</v>
      </c>
      <c r="O42" s="173">
        <v>0</v>
      </c>
      <c r="P42" s="173">
        <v>0.56666666666666665</v>
      </c>
      <c r="Q42" s="173">
        <v>1</v>
      </c>
      <c r="R42" s="173">
        <v>2.3333333333333335</v>
      </c>
      <c r="S42" s="169" t="s">
        <v>1221</v>
      </c>
      <c r="T42" s="169">
        <v>2010</v>
      </c>
      <c r="U42" s="173">
        <v>16</v>
      </c>
      <c r="V42" s="173">
        <v>9.75</v>
      </c>
      <c r="W42" s="174">
        <v>40513</v>
      </c>
    </row>
    <row r="43" spans="1:23" x14ac:dyDescent="0.2">
      <c r="A43" s="171">
        <v>14201</v>
      </c>
      <c r="B43" s="172" t="s">
        <v>1224</v>
      </c>
      <c r="C43" s="172" t="s">
        <v>1216</v>
      </c>
      <c r="D43" s="172" t="s">
        <v>1225</v>
      </c>
      <c r="E43" s="173">
        <v>34.5</v>
      </c>
      <c r="F43" s="173">
        <v>4</v>
      </c>
      <c r="G43" s="173">
        <v>2</v>
      </c>
      <c r="H43" s="173">
        <v>2</v>
      </c>
      <c r="I43" s="173">
        <v>0</v>
      </c>
      <c r="J43" s="173">
        <v>0</v>
      </c>
      <c r="K43" s="173">
        <v>0</v>
      </c>
      <c r="L43" s="173">
        <v>0</v>
      </c>
      <c r="M43" s="173">
        <v>0</v>
      </c>
      <c r="N43" s="173">
        <v>0</v>
      </c>
      <c r="O43" s="173">
        <v>0</v>
      </c>
      <c r="P43" s="173">
        <v>0</v>
      </c>
      <c r="Q43" s="173">
        <v>0</v>
      </c>
      <c r="R43" s="173">
        <v>0</v>
      </c>
      <c r="S43" s="169" t="s">
        <v>1218</v>
      </c>
      <c r="T43" s="169">
        <v>2011</v>
      </c>
      <c r="U43" s="173">
        <v>16</v>
      </c>
      <c r="V43" s="173">
        <v>10</v>
      </c>
      <c r="W43" s="174">
        <v>40544</v>
      </c>
    </row>
    <row r="44" spans="1:23" x14ac:dyDescent="0.2">
      <c r="A44" s="171">
        <v>14201</v>
      </c>
      <c r="B44" s="172" t="s">
        <v>1224</v>
      </c>
      <c r="C44" s="172" t="s">
        <v>1216</v>
      </c>
      <c r="D44" s="172" t="s">
        <v>1225</v>
      </c>
      <c r="E44" s="173">
        <v>34.5</v>
      </c>
      <c r="F44" s="173">
        <v>4</v>
      </c>
      <c r="G44" s="173">
        <v>0</v>
      </c>
      <c r="H44" s="173">
        <v>0</v>
      </c>
      <c r="I44" s="173">
        <v>0</v>
      </c>
      <c r="J44" s="173">
        <v>0</v>
      </c>
      <c r="K44" s="173">
        <v>0</v>
      </c>
      <c r="L44" s="173">
        <v>0</v>
      </c>
      <c r="M44" s="173">
        <v>0</v>
      </c>
      <c r="N44" s="173">
        <v>0</v>
      </c>
      <c r="O44" s="173">
        <v>0</v>
      </c>
      <c r="P44" s="173">
        <v>0</v>
      </c>
      <c r="Q44" s="173">
        <v>0</v>
      </c>
      <c r="R44" s="173">
        <v>0</v>
      </c>
      <c r="S44" s="169" t="s">
        <v>1218</v>
      </c>
      <c r="T44" s="169">
        <v>2011</v>
      </c>
      <c r="U44" s="173">
        <v>16</v>
      </c>
      <c r="V44" s="173">
        <v>10</v>
      </c>
      <c r="W44" s="174">
        <v>40575</v>
      </c>
    </row>
    <row r="45" spans="1:23" x14ac:dyDescent="0.2">
      <c r="A45" s="171">
        <v>14201</v>
      </c>
      <c r="B45" s="172" t="s">
        <v>1224</v>
      </c>
      <c r="C45" s="172" t="s">
        <v>1216</v>
      </c>
      <c r="D45" s="172" t="s">
        <v>1225</v>
      </c>
      <c r="E45" s="173">
        <v>34.5</v>
      </c>
      <c r="F45" s="173">
        <v>4</v>
      </c>
      <c r="G45" s="173">
        <v>1</v>
      </c>
      <c r="H45" s="173">
        <v>1</v>
      </c>
      <c r="I45" s="173">
        <v>0</v>
      </c>
      <c r="J45" s="173">
        <v>0</v>
      </c>
      <c r="K45" s="173">
        <v>0</v>
      </c>
      <c r="L45" s="173">
        <v>0</v>
      </c>
      <c r="M45" s="173">
        <v>0</v>
      </c>
      <c r="N45" s="173">
        <v>0</v>
      </c>
      <c r="O45" s="173">
        <v>0</v>
      </c>
      <c r="P45" s="173">
        <v>0</v>
      </c>
      <c r="Q45" s="173">
        <v>0</v>
      </c>
      <c r="R45" s="173">
        <v>0</v>
      </c>
      <c r="S45" s="169" t="s">
        <v>1218</v>
      </c>
      <c r="T45" s="169">
        <v>2011</v>
      </c>
      <c r="U45" s="173">
        <v>16</v>
      </c>
      <c r="V45" s="173">
        <v>10</v>
      </c>
      <c r="W45" s="174">
        <v>40603</v>
      </c>
    </row>
    <row r="46" spans="1:23" x14ac:dyDescent="0.2">
      <c r="A46" s="171">
        <v>14201</v>
      </c>
      <c r="B46" s="172" t="s">
        <v>1224</v>
      </c>
      <c r="C46" s="172" t="s">
        <v>1216</v>
      </c>
      <c r="D46" s="172" t="s">
        <v>1225</v>
      </c>
      <c r="E46" s="173">
        <v>34.5</v>
      </c>
      <c r="F46" s="173">
        <v>4</v>
      </c>
      <c r="G46" s="173">
        <v>1</v>
      </c>
      <c r="H46" s="173">
        <v>1</v>
      </c>
      <c r="I46" s="173">
        <v>0</v>
      </c>
      <c r="J46" s="173">
        <v>0</v>
      </c>
      <c r="K46" s="173">
        <v>0</v>
      </c>
      <c r="L46" s="173">
        <v>0</v>
      </c>
      <c r="M46" s="173">
        <v>0</v>
      </c>
      <c r="N46" s="173">
        <v>0</v>
      </c>
      <c r="O46" s="173">
        <v>0</v>
      </c>
      <c r="P46" s="173">
        <v>0</v>
      </c>
      <c r="Q46" s="173">
        <v>0</v>
      </c>
      <c r="R46" s="173">
        <v>0</v>
      </c>
      <c r="S46" s="169" t="s">
        <v>1219</v>
      </c>
      <c r="T46" s="169">
        <v>2011</v>
      </c>
      <c r="U46" s="173">
        <v>16</v>
      </c>
      <c r="V46" s="173">
        <v>9.5</v>
      </c>
      <c r="W46" s="174">
        <v>40634</v>
      </c>
    </row>
    <row r="47" spans="1:23" x14ac:dyDescent="0.2">
      <c r="A47" s="171">
        <v>14201</v>
      </c>
      <c r="B47" s="172" t="s">
        <v>1224</v>
      </c>
      <c r="C47" s="172" t="s">
        <v>1216</v>
      </c>
      <c r="D47" s="172" t="s">
        <v>1225</v>
      </c>
      <c r="E47" s="173">
        <v>34.5</v>
      </c>
      <c r="F47" s="173">
        <v>4</v>
      </c>
      <c r="G47" s="173">
        <v>1</v>
      </c>
      <c r="H47" s="173">
        <v>1</v>
      </c>
      <c r="I47" s="173">
        <v>0</v>
      </c>
      <c r="J47" s="173">
        <v>0</v>
      </c>
      <c r="K47" s="173">
        <v>0</v>
      </c>
      <c r="L47" s="173">
        <v>0</v>
      </c>
      <c r="M47" s="173">
        <v>0</v>
      </c>
      <c r="N47" s="173">
        <v>0</v>
      </c>
      <c r="O47" s="173">
        <v>2</v>
      </c>
      <c r="P47" s="173">
        <v>1.35</v>
      </c>
      <c r="Q47" s="173">
        <v>2</v>
      </c>
      <c r="R47" s="173">
        <v>1.35</v>
      </c>
      <c r="S47" s="169" t="s">
        <v>1219</v>
      </c>
      <c r="T47" s="169">
        <v>2011</v>
      </c>
      <c r="U47" s="173">
        <v>16</v>
      </c>
      <c r="V47" s="173">
        <v>9.5</v>
      </c>
      <c r="W47" s="174">
        <v>40664</v>
      </c>
    </row>
    <row r="48" spans="1:23" x14ac:dyDescent="0.2">
      <c r="A48" s="171">
        <v>14201</v>
      </c>
      <c r="B48" s="172" t="s">
        <v>1224</v>
      </c>
      <c r="C48" s="172" t="s">
        <v>1216</v>
      </c>
      <c r="D48" s="172" t="s">
        <v>1225</v>
      </c>
      <c r="E48" s="173">
        <v>34.5</v>
      </c>
      <c r="F48" s="173">
        <v>4</v>
      </c>
      <c r="G48" s="173">
        <v>1</v>
      </c>
      <c r="H48" s="173">
        <v>1</v>
      </c>
      <c r="I48" s="173">
        <v>0</v>
      </c>
      <c r="J48" s="173">
        <v>0</v>
      </c>
      <c r="K48" s="173">
        <v>0</v>
      </c>
      <c r="L48" s="173">
        <v>0</v>
      </c>
      <c r="M48" s="173">
        <v>0</v>
      </c>
      <c r="N48" s="173">
        <v>0</v>
      </c>
      <c r="O48" s="173">
        <v>0</v>
      </c>
      <c r="P48" s="173">
        <v>0</v>
      </c>
      <c r="Q48" s="173">
        <v>0</v>
      </c>
      <c r="R48" s="173">
        <v>0</v>
      </c>
      <c r="S48" s="169" t="s">
        <v>1219</v>
      </c>
      <c r="T48" s="169">
        <v>2011</v>
      </c>
      <c r="U48" s="173">
        <v>16</v>
      </c>
      <c r="V48" s="173">
        <v>9.5</v>
      </c>
      <c r="W48" s="174">
        <v>40695</v>
      </c>
    </row>
    <row r="49" spans="1:23" x14ac:dyDescent="0.2">
      <c r="A49" s="171">
        <v>14201</v>
      </c>
      <c r="B49" s="172" t="s">
        <v>1224</v>
      </c>
      <c r="C49" s="172" t="s">
        <v>1216</v>
      </c>
      <c r="D49" s="172" t="s">
        <v>1225</v>
      </c>
      <c r="E49" s="173">
        <v>34.5</v>
      </c>
      <c r="F49" s="173">
        <v>4</v>
      </c>
      <c r="G49" s="173">
        <v>0</v>
      </c>
      <c r="H49" s="173">
        <v>0</v>
      </c>
      <c r="I49" s="173">
        <v>0</v>
      </c>
      <c r="J49" s="173">
        <v>0</v>
      </c>
      <c r="K49" s="173">
        <v>0</v>
      </c>
      <c r="L49" s="173">
        <v>0</v>
      </c>
      <c r="M49" s="173">
        <v>0</v>
      </c>
      <c r="N49" s="173">
        <v>0</v>
      </c>
      <c r="O49" s="173">
        <v>1</v>
      </c>
      <c r="P49" s="173">
        <v>0.15</v>
      </c>
      <c r="Q49" s="173">
        <v>1</v>
      </c>
      <c r="R49" s="173">
        <v>0.15</v>
      </c>
      <c r="S49" s="169" t="s">
        <v>1220</v>
      </c>
      <c r="T49" s="169">
        <v>2011</v>
      </c>
      <c r="U49" s="173">
        <v>12</v>
      </c>
      <c r="V49" s="173">
        <v>9.5</v>
      </c>
      <c r="W49" s="174">
        <v>40725</v>
      </c>
    </row>
    <row r="50" spans="1:23" x14ac:dyDescent="0.2">
      <c r="A50" s="171">
        <v>14201</v>
      </c>
      <c r="B50" s="172" t="s">
        <v>1224</v>
      </c>
      <c r="C50" s="172" t="s">
        <v>1216</v>
      </c>
      <c r="D50" s="172" t="s">
        <v>1225</v>
      </c>
      <c r="E50" s="173">
        <v>34.5</v>
      </c>
      <c r="F50" s="173">
        <v>4</v>
      </c>
      <c r="G50" s="173">
        <v>0</v>
      </c>
      <c r="H50" s="173">
        <v>0</v>
      </c>
      <c r="I50" s="173">
        <v>0</v>
      </c>
      <c r="J50" s="173">
        <v>0</v>
      </c>
      <c r="K50" s="173">
        <v>0</v>
      </c>
      <c r="L50" s="173">
        <v>0</v>
      </c>
      <c r="M50" s="173">
        <v>0</v>
      </c>
      <c r="N50" s="173">
        <v>0</v>
      </c>
      <c r="O50" s="173">
        <v>1</v>
      </c>
      <c r="P50" s="173">
        <v>3.3333333333333333E-2</v>
      </c>
      <c r="Q50" s="173">
        <v>1</v>
      </c>
      <c r="R50" s="173">
        <v>3.3333333333333333E-2</v>
      </c>
      <c r="S50" s="169" t="s">
        <v>1220</v>
      </c>
      <c r="T50" s="169">
        <v>2011</v>
      </c>
      <c r="U50" s="173">
        <v>12</v>
      </c>
      <c r="V50" s="173">
        <v>9.5</v>
      </c>
      <c r="W50" s="174">
        <v>40756</v>
      </c>
    </row>
    <row r="51" spans="1:23" x14ac:dyDescent="0.2">
      <c r="A51" s="171">
        <v>14202</v>
      </c>
      <c r="B51" s="172" t="s">
        <v>1226</v>
      </c>
      <c r="C51" s="172" t="s">
        <v>1216</v>
      </c>
      <c r="D51" s="172" t="s">
        <v>1225</v>
      </c>
      <c r="E51" s="173" t="s">
        <v>1227</v>
      </c>
      <c r="F51" s="173">
        <v>4</v>
      </c>
      <c r="G51" s="173">
        <v>0</v>
      </c>
      <c r="H51" s="173">
        <v>0</v>
      </c>
      <c r="I51" s="173">
        <v>0</v>
      </c>
      <c r="J51" s="173">
        <v>0</v>
      </c>
      <c r="K51" s="173">
        <v>0</v>
      </c>
      <c r="L51" s="173">
        <v>0</v>
      </c>
      <c r="M51" s="173">
        <v>0</v>
      </c>
      <c r="N51" s="173">
        <v>0</v>
      </c>
      <c r="O51" s="173">
        <v>4</v>
      </c>
      <c r="P51" s="173">
        <v>0.41666666666666669</v>
      </c>
      <c r="Q51" s="173">
        <v>4</v>
      </c>
      <c r="R51" s="173">
        <v>0.41666666666666669</v>
      </c>
      <c r="S51" s="169" t="s">
        <v>1218</v>
      </c>
      <c r="T51" s="169">
        <v>2010</v>
      </c>
      <c r="U51" s="173">
        <v>14</v>
      </c>
      <c r="V51" s="173">
        <v>9.75</v>
      </c>
      <c r="W51" s="174">
        <v>40179</v>
      </c>
    </row>
    <row r="52" spans="1:23" x14ac:dyDescent="0.2">
      <c r="A52" s="171">
        <v>14202</v>
      </c>
      <c r="B52" s="172" t="s">
        <v>1226</v>
      </c>
      <c r="C52" s="172" t="s">
        <v>1216</v>
      </c>
      <c r="D52" s="172" t="s">
        <v>1225</v>
      </c>
      <c r="E52" s="173">
        <v>34.5</v>
      </c>
      <c r="F52" s="173">
        <v>4</v>
      </c>
      <c r="G52" s="173">
        <v>0</v>
      </c>
      <c r="H52" s="173">
        <v>0</v>
      </c>
      <c r="I52" s="173">
        <v>2</v>
      </c>
      <c r="J52" s="173">
        <v>21</v>
      </c>
      <c r="K52" s="173">
        <v>0</v>
      </c>
      <c r="L52" s="173">
        <v>0</v>
      </c>
      <c r="M52" s="173">
        <v>0</v>
      </c>
      <c r="N52" s="173">
        <v>0</v>
      </c>
      <c r="O52" s="173">
        <v>1</v>
      </c>
      <c r="P52" s="173">
        <v>8.3333333333333329E-2</v>
      </c>
      <c r="Q52" s="173">
        <v>1</v>
      </c>
      <c r="R52" s="173">
        <v>8.3333333333333329E-2</v>
      </c>
      <c r="S52" s="169" t="s">
        <v>1218</v>
      </c>
      <c r="T52" s="169">
        <v>2010</v>
      </c>
      <c r="U52" s="173">
        <v>14</v>
      </c>
      <c r="V52" s="173">
        <v>9.75</v>
      </c>
      <c r="W52" s="174">
        <v>40210</v>
      </c>
    </row>
    <row r="53" spans="1:23" x14ac:dyDescent="0.2">
      <c r="A53" s="171">
        <v>14202</v>
      </c>
      <c r="B53" s="172" t="s">
        <v>1226</v>
      </c>
      <c r="C53" s="172" t="s">
        <v>1216</v>
      </c>
      <c r="D53" s="172" t="s">
        <v>1225</v>
      </c>
      <c r="E53" s="173">
        <v>34.5</v>
      </c>
      <c r="F53" s="173">
        <v>4</v>
      </c>
      <c r="G53" s="173">
        <v>0</v>
      </c>
      <c r="H53" s="173">
        <v>0</v>
      </c>
      <c r="I53" s="173">
        <v>2</v>
      </c>
      <c r="J53" s="173">
        <v>27</v>
      </c>
      <c r="K53" s="173">
        <v>0</v>
      </c>
      <c r="L53" s="173">
        <v>0</v>
      </c>
      <c r="M53" s="173">
        <v>0</v>
      </c>
      <c r="N53" s="173">
        <v>0</v>
      </c>
      <c r="O53" s="173">
        <v>0</v>
      </c>
      <c r="P53" s="173">
        <v>0</v>
      </c>
      <c r="Q53" s="173">
        <v>0</v>
      </c>
      <c r="R53" s="173">
        <v>0</v>
      </c>
      <c r="S53" s="169" t="s">
        <v>1218</v>
      </c>
      <c r="T53" s="169">
        <v>2010</v>
      </c>
      <c r="U53" s="173">
        <v>14</v>
      </c>
      <c r="V53" s="173">
        <v>9.75</v>
      </c>
      <c r="W53" s="174">
        <v>40238</v>
      </c>
    </row>
    <row r="54" spans="1:23" x14ac:dyDescent="0.2">
      <c r="A54" s="171">
        <v>14202</v>
      </c>
      <c r="B54" s="172" t="s">
        <v>1226</v>
      </c>
      <c r="C54" s="172" t="s">
        <v>1216</v>
      </c>
      <c r="D54" s="172" t="s">
        <v>1225</v>
      </c>
      <c r="E54" s="173">
        <v>34.5</v>
      </c>
      <c r="F54" s="173">
        <v>4</v>
      </c>
      <c r="G54" s="173">
        <v>0</v>
      </c>
      <c r="H54" s="173">
        <v>0</v>
      </c>
      <c r="I54" s="173">
        <v>6</v>
      </c>
      <c r="J54" s="173">
        <v>38</v>
      </c>
      <c r="K54" s="173">
        <v>0</v>
      </c>
      <c r="L54" s="173">
        <v>0</v>
      </c>
      <c r="M54" s="173">
        <v>0</v>
      </c>
      <c r="N54" s="173">
        <v>0</v>
      </c>
      <c r="O54" s="173">
        <v>2</v>
      </c>
      <c r="P54" s="173">
        <v>0.28333333333333333</v>
      </c>
      <c r="Q54" s="173">
        <v>2</v>
      </c>
      <c r="R54" s="173">
        <v>0.28333333333333333</v>
      </c>
      <c r="S54" s="169" t="s">
        <v>1219</v>
      </c>
      <c r="T54" s="169">
        <v>2010</v>
      </c>
      <c r="U54" s="173">
        <v>14</v>
      </c>
      <c r="V54" s="173">
        <v>9.75</v>
      </c>
      <c r="W54" s="174">
        <v>40269</v>
      </c>
    </row>
    <row r="55" spans="1:23" x14ac:dyDescent="0.2">
      <c r="A55" s="171">
        <v>14202</v>
      </c>
      <c r="B55" s="172" t="s">
        <v>1226</v>
      </c>
      <c r="C55" s="172" t="s">
        <v>1216</v>
      </c>
      <c r="D55" s="172" t="s">
        <v>1225</v>
      </c>
      <c r="E55" s="173">
        <v>34.5</v>
      </c>
      <c r="F55" s="173">
        <v>4</v>
      </c>
      <c r="G55" s="173">
        <v>0</v>
      </c>
      <c r="H55" s="173">
        <v>0</v>
      </c>
      <c r="I55" s="173">
        <v>1</v>
      </c>
      <c r="J55" s="173">
        <v>13</v>
      </c>
      <c r="K55" s="173">
        <v>0</v>
      </c>
      <c r="L55" s="173">
        <v>0</v>
      </c>
      <c r="M55" s="173">
        <v>0</v>
      </c>
      <c r="N55" s="173">
        <v>0</v>
      </c>
      <c r="O55" s="173">
        <v>1</v>
      </c>
      <c r="P55" s="173">
        <v>8.3333333333333329E-2</v>
      </c>
      <c r="Q55" s="173">
        <v>1</v>
      </c>
      <c r="R55" s="173">
        <v>8.3333333333333329E-2</v>
      </c>
      <c r="S55" s="169" t="s">
        <v>1219</v>
      </c>
      <c r="T55" s="169">
        <v>2010</v>
      </c>
      <c r="U55" s="173">
        <v>14</v>
      </c>
      <c r="V55" s="173">
        <v>9.75</v>
      </c>
      <c r="W55" s="174">
        <v>40299</v>
      </c>
    </row>
    <row r="56" spans="1:23" x14ac:dyDescent="0.2">
      <c r="A56" s="171">
        <v>14202</v>
      </c>
      <c r="B56" s="172" t="s">
        <v>1226</v>
      </c>
      <c r="C56" s="172" t="s">
        <v>1216</v>
      </c>
      <c r="D56" s="172" t="s">
        <v>1225</v>
      </c>
      <c r="E56" s="173">
        <v>34.5</v>
      </c>
      <c r="F56" s="173">
        <v>4</v>
      </c>
      <c r="G56" s="173">
        <v>0</v>
      </c>
      <c r="H56" s="173">
        <v>0</v>
      </c>
      <c r="I56" s="173">
        <v>1</v>
      </c>
      <c r="J56" s="173">
        <v>29</v>
      </c>
      <c r="K56" s="173">
        <v>0</v>
      </c>
      <c r="L56" s="173">
        <v>0</v>
      </c>
      <c r="M56" s="173">
        <v>0</v>
      </c>
      <c r="N56" s="173">
        <v>0</v>
      </c>
      <c r="O56" s="173">
        <v>0</v>
      </c>
      <c r="P56" s="173">
        <v>0</v>
      </c>
      <c r="Q56" s="173">
        <v>0</v>
      </c>
      <c r="R56" s="173">
        <v>0</v>
      </c>
      <c r="S56" s="169" t="s">
        <v>1219</v>
      </c>
      <c r="T56" s="169">
        <v>2010</v>
      </c>
      <c r="U56" s="173">
        <v>14</v>
      </c>
      <c r="V56" s="173">
        <v>9.75</v>
      </c>
      <c r="W56" s="174">
        <v>40330</v>
      </c>
    </row>
    <row r="57" spans="1:23" x14ac:dyDescent="0.2">
      <c r="A57" s="171">
        <v>14202</v>
      </c>
      <c r="B57" s="172" t="s">
        <v>1226</v>
      </c>
      <c r="C57" s="172" t="s">
        <v>1216</v>
      </c>
      <c r="D57" s="172" t="s">
        <v>1225</v>
      </c>
      <c r="E57" s="173">
        <v>34.5</v>
      </c>
      <c r="F57" s="173">
        <v>4</v>
      </c>
      <c r="G57" s="173">
        <v>0</v>
      </c>
      <c r="H57" s="173">
        <v>0</v>
      </c>
      <c r="I57" s="173">
        <v>3</v>
      </c>
      <c r="J57" s="173">
        <v>10</v>
      </c>
      <c r="K57" s="173">
        <v>0</v>
      </c>
      <c r="L57" s="173">
        <v>0</v>
      </c>
      <c r="M57" s="173">
        <v>0</v>
      </c>
      <c r="N57" s="173">
        <v>0</v>
      </c>
      <c r="O57" s="173">
        <v>3</v>
      </c>
      <c r="P57" s="173">
        <v>0.6</v>
      </c>
      <c r="Q57" s="173">
        <v>3</v>
      </c>
      <c r="R57" s="173">
        <v>0.6</v>
      </c>
      <c r="S57" s="169" t="s">
        <v>1220</v>
      </c>
      <c r="T57" s="169">
        <v>2010</v>
      </c>
      <c r="U57" s="173">
        <v>14</v>
      </c>
      <c r="V57" s="173">
        <v>9.75</v>
      </c>
      <c r="W57" s="174">
        <v>40360</v>
      </c>
    </row>
    <row r="58" spans="1:23" x14ac:dyDescent="0.2">
      <c r="A58" s="171">
        <v>14202</v>
      </c>
      <c r="B58" s="172" t="s">
        <v>1226</v>
      </c>
      <c r="C58" s="172" t="s">
        <v>1216</v>
      </c>
      <c r="D58" s="172" t="s">
        <v>1225</v>
      </c>
      <c r="E58" s="173">
        <v>34.5</v>
      </c>
      <c r="F58" s="173">
        <v>4</v>
      </c>
      <c r="G58" s="173">
        <v>0</v>
      </c>
      <c r="H58" s="173">
        <v>0</v>
      </c>
      <c r="I58" s="173">
        <v>0</v>
      </c>
      <c r="J58" s="173">
        <v>0</v>
      </c>
      <c r="K58" s="173">
        <v>0</v>
      </c>
      <c r="L58" s="173">
        <v>0</v>
      </c>
      <c r="M58" s="173">
        <v>0</v>
      </c>
      <c r="N58" s="173">
        <v>0</v>
      </c>
      <c r="O58" s="173">
        <v>3</v>
      </c>
      <c r="P58" s="173">
        <v>3.6833333333333331</v>
      </c>
      <c r="Q58" s="173">
        <v>3</v>
      </c>
      <c r="R58" s="173">
        <v>3.6833333333333331</v>
      </c>
      <c r="S58" s="169" t="s">
        <v>1220</v>
      </c>
      <c r="T58" s="169">
        <v>2010</v>
      </c>
      <c r="U58" s="173">
        <v>14</v>
      </c>
      <c r="V58" s="173">
        <v>9.75</v>
      </c>
      <c r="W58" s="174">
        <v>40391</v>
      </c>
    </row>
    <row r="59" spans="1:23" x14ac:dyDescent="0.2">
      <c r="A59" s="171">
        <v>14202</v>
      </c>
      <c r="B59" s="172" t="s">
        <v>1226</v>
      </c>
      <c r="C59" s="172" t="s">
        <v>1216</v>
      </c>
      <c r="D59" s="172" t="s">
        <v>1225</v>
      </c>
      <c r="E59" s="173">
        <v>34.5</v>
      </c>
      <c r="F59" s="173">
        <v>4</v>
      </c>
      <c r="G59" s="173">
        <v>0</v>
      </c>
      <c r="H59" s="173">
        <v>0</v>
      </c>
      <c r="I59" s="173">
        <v>1</v>
      </c>
      <c r="J59" s="173">
        <v>9</v>
      </c>
      <c r="K59" s="173">
        <v>0</v>
      </c>
      <c r="L59" s="173">
        <v>0</v>
      </c>
      <c r="M59" s="173">
        <v>0</v>
      </c>
      <c r="N59" s="173">
        <v>0</v>
      </c>
      <c r="O59" s="173">
        <v>1</v>
      </c>
      <c r="P59" s="173">
        <v>0.05</v>
      </c>
      <c r="Q59" s="173">
        <v>1</v>
      </c>
      <c r="R59" s="173">
        <v>0.05</v>
      </c>
      <c r="S59" s="169" t="s">
        <v>1220</v>
      </c>
      <c r="T59" s="169">
        <v>2010</v>
      </c>
      <c r="U59" s="173">
        <v>14</v>
      </c>
      <c r="V59" s="173">
        <v>9.75</v>
      </c>
      <c r="W59" s="174">
        <v>40422</v>
      </c>
    </row>
    <row r="60" spans="1:23" x14ac:dyDescent="0.2">
      <c r="A60" s="171">
        <v>14202</v>
      </c>
      <c r="B60" s="172" t="s">
        <v>1226</v>
      </c>
      <c r="C60" s="172" t="s">
        <v>1216</v>
      </c>
      <c r="D60" s="172" t="s">
        <v>1225</v>
      </c>
      <c r="E60" s="173">
        <v>34.5</v>
      </c>
      <c r="F60" s="173">
        <v>4</v>
      </c>
      <c r="G60" s="173">
        <v>0</v>
      </c>
      <c r="H60" s="173">
        <v>0</v>
      </c>
      <c r="I60" s="173">
        <v>0</v>
      </c>
      <c r="J60" s="173">
        <v>0</v>
      </c>
      <c r="K60" s="173">
        <v>0</v>
      </c>
      <c r="L60" s="173">
        <v>0</v>
      </c>
      <c r="M60" s="173">
        <v>0</v>
      </c>
      <c r="N60" s="173">
        <v>0</v>
      </c>
      <c r="O60" s="173">
        <v>0</v>
      </c>
      <c r="P60" s="173">
        <v>0</v>
      </c>
      <c r="Q60" s="173">
        <v>0</v>
      </c>
      <c r="R60" s="173">
        <v>0</v>
      </c>
      <c r="S60" s="169" t="s">
        <v>1221</v>
      </c>
      <c r="T60" s="169">
        <v>2010</v>
      </c>
      <c r="U60" s="173">
        <v>16</v>
      </c>
      <c r="V60" s="173">
        <v>9.75</v>
      </c>
      <c r="W60" s="174">
        <v>40452</v>
      </c>
    </row>
    <row r="61" spans="1:23" x14ac:dyDescent="0.2">
      <c r="A61" s="171">
        <v>14202</v>
      </c>
      <c r="B61" s="172" t="s">
        <v>1226</v>
      </c>
      <c r="C61" s="172" t="s">
        <v>1216</v>
      </c>
      <c r="D61" s="172" t="s">
        <v>1225</v>
      </c>
      <c r="E61" s="173">
        <v>34.5</v>
      </c>
      <c r="F61" s="173">
        <v>4</v>
      </c>
      <c r="G61" s="173">
        <v>0</v>
      </c>
      <c r="H61" s="173">
        <v>0</v>
      </c>
      <c r="I61" s="173">
        <v>0</v>
      </c>
      <c r="J61" s="173">
        <v>0</v>
      </c>
      <c r="K61" s="173">
        <v>0</v>
      </c>
      <c r="L61" s="173">
        <v>0</v>
      </c>
      <c r="M61" s="173">
        <v>0</v>
      </c>
      <c r="N61" s="173">
        <v>0</v>
      </c>
      <c r="O61" s="173">
        <v>3</v>
      </c>
      <c r="P61" s="173">
        <v>0.53333333333333333</v>
      </c>
      <c r="Q61" s="173">
        <v>3</v>
      </c>
      <c r="R61" s="173">
        <v>0.53333333333333333</v>
      </c>
      <c r="S61" s="169" t="s">
        <v>1221</v>
      </c>
      <c r="T61" s="169">
        <v>2010</v>
      </c>
      <c r="U61" s="173">
        <v>16</v>
      </c>
      <c r="V61" s="173">
        <v>9.75</v>
      </c>
      <c r="W61" s="174">
        <v>40483</v>
      </c>
    </row>
    <row r="62" spans="1:23" x14ac:dyDescent="0.2">
      <c r="A62" s="171">
        <v>14202</v>
      </c>
      <c r="B62" s="172" t="s">
        <v>1226</v>
      </c>
      <c r="C62" s="172" t="s">
        <v>1216</v>
      </c>
      <c r="D62" s="172" t="s">
        <v>1225</v>
      </c>
      <c r="E62" s="173">
        <v>34.5</v>
      </c>
      <c r="F62" s="173">
        <v>4</v>
      </c>
      <c r="G62" s="173">
        <v>0</v>
      </c>
      <c r="H62" s="173">
        <v>0</v>
      </c>
      <c r="I62" s="173">
        <v>0</v>
      </c>
      <c r="J62" s="173">
        <v>0</v>
      </c>
      <c r="K62" s="173">
        <v>0</v>
      </c>
      <c r="L62" s="173">
        <v>0</v>
      </c>
      <c r="M62" s="173">
        <v>1</v>
      </c>
      <c r="N62" s="173">
        <v>2</v>
      </c>
      <c r="O62" s="173">
        <v>0</v>
      </c>
      <c r="P62" s="173">
        <v>10.3</v>
      </c>
      <c r="Q62" s="173">
        <v>1</v>
      </c>
      <c r="R62" s="173">
        <v>12.3</v>
      </c>
      <c r="S62" s="169" t="s">
        <v>1221</v>
      </c>
      <c r="T62" s="169">
        <v>2010</v>
      </c>
      <c r="U62" s="173">
        <v>16</v>
      </c>
      <c r="V62" s="173">
        <v>9.75</v>
      </c>
      <c r="W62" s="174">
        <v>40513</v>
      </c>
    </row>
    <row r="63" spans="1:23" x14ac:dyDescent="0.2">
      <c r="A63" s="171">
        <v>14202</v>
      </c>
      <c r="B63" s="172" t="s">
        <v>1226</v>
      </c>
      <c r="C63" s="172" t="s">
        <v>1216</v>
      </c>
      <c r="D63" s="172" t="s">
        <v>1225</v>
      </c>
      <c r="E63" s="173">
        <v>34.5</v>
      </c>
      <c r="F63" s="173">
        <v>4</v>
      </c>
      <c r="G63" s="173">
        <v>0</v>
      </c>
      <c r="H63" s="173">
        <v>0</v>
      </c>
      <c r="I63" s="173">
        <v>0</v>
      </c>
      <c r="J63" s="173">
        <v>0</v>
      </c>
      <c r="K63" s="173">
        <v>0</v>
      </c>
      <c r="L63" s="173">
        <v>0</v>
      </c>
      <c r="M63" s="173">
        <v>0</v>
      </c>
      <c r="N63" s="173">
        <v>0</v>
      </c>
      <c r="O63" s="173">
        <v>0</v>
      </c>
      <c r="P63" s="173">
        <v>0</v>
      </c>
      <c r="Q63" s="173">
        <v>0</v>
      </c>
      <c r="R63" s="173">
        <v>0</v>
      </c>
      <c r="S63" s="169" t="s">
        <v>1218</v>
      </c>
      <c r="T63" s="169">
        <v>2011</v>
      </c>
      <c r="U63" s="173">
        <v>16</v>
      </c>
      <c r="V63" s="173">
        <v>10</v>
      </c>
      <c r="W63" s="174">
        <v>40544</v>
      </c>
    </row>
    <row r="64" spans="1:23" x14ac:dyDescent="0.2">
      <c r="A64" s="171">
        <v>14202</v>
      </c>
      <c r="B64" s="172" t="s">
        <v>1226</v>
      </c>
      <c r="C64" s="172" t="s">
        <v>1216</v>
      </c>
      <c r="D64" s="172" t="s">
        <v>1225</v>
      </c>
      <c r="E64" s="173">
        <v>34.5</v>
      </c>
      <c r="F64" s="173">
        <v>4</v>
      </c>
      <c r="G64" s="173">
        <v>0</v>
      </c>
      <c r="H64" s="173">
        <v>0</v>
      </c>
      <c r="I64" s="173">
        <v>0</v>
      </c>
      <c r="J64" s="173">
        <v>0</v>
      </c>
      <c r="K64" s="173">
        <v>0</v>
      </c>
      <c r="L64" s="173">
        <v>0</v>
      </c>
      <c r="M64" s="173">
        <v>0</v>
      </c>
      <c r="N64" s="173">
        <v>0</v>
      </c>
      <c r="O64" s="173">
        <v>4</v>
      </c>
      <c r="P64" s="173">
        <v>0.26666666666666666</v>
      </c>
      <c r="Q64" s="173">
        <v>4</v>
      </c>
      <c r="R64" s="173">
        <v>0.26666666666666666</v>
      </c>
      <c r="S64" s="169" t="s">
        <v>1218</v>
      </c>
      <c r="T64" s="169">
        <v>2011</v>
      </c>
      <c r="U64" s="173">
        <v>16</v>
      </c>
      <c r="V64" s="173">
        <v>10</v>
      </c>
      <c r="W64" s="174">
        <v>40575</v>
      </c>
    </row>
    <row r="65" spans="1:23" x14ac:dyDescent="0.2">
      <c r="A65" s="171">
        <v>14202</v>
      </c>
      <c r="B65" s="172" t="s">
        <v>1226</v>
      </c>
      <c r="C65" s="172" t="s">
        <v>1216</v>
      </c>
      <c r="D65" s="172" t="s">
        <v>1225</v>
      </c>
      <c r="E65" s="173">
        <v>34.5</v>
      </c>
      <c r="F65" s="173">
        <v>4</v>
      </c>
      <c r="G65" s="173">
        <v>0</v>
      </c>
      <c r="H65" s="173">
        <v>0</v>
      </c>
      <c r="I65" s="173">
        <v>0</v>
      </c>
      <c r="J65" s="173">
        <v>0</v>
      </c>
      <c r="K65" s="173">
        <v>0</v>
      </c>
      <c r="L65" s="173">
        <v>0</v>
      </c>
      <c r="M65" s="173">
        <v>0</v>
      </c>
      <c r="N65" s="173">
        <v>0</v>
      </c>
      <c r="O65" s="173">
        <v>1</v>
      </c>
      <c r="P65" s="173">
        <v>0.1</v>
      </c>
      <c r="Q65" s="173">
        <v>1</v>
      </c>
      <c r="R65" s="173">
        <v>0.1</v>
      </c>
      <c r="S65" s="169" t="s">
        <v>1218</v>
      </c>
      <c r="T65" s="169">
        <v>2011</v>
      </c>
      <c r="U65" s="173">
        <v>16</v>
      </c>
      <c r="V65" s="173">
        <v>10</v>
      </c>
      <c r="W65" s="174">
        <v>40603</v>
      </c>
    </row>
    <row r="66" spans="1:23" x14ac:dyDescent="0.2">
      <c r="A66" s="171">
        <v>14202</v>
      </c>
      <c r="B66" s="172" t="s">
        <v>1226</v>
      </c>
      <c r="C66" s="172" t="s">
        <v>1216</v>
      </c>
      <c r="D66" s="172" t="s">
        <v>1225</v>
      </c>
      <c r="E66" s="173">
        <v>34.5</v>
      </c>
      <c r="F66" s="173">
        <v>4</v>
      </c>
      <c r="G66" s="173">
        <v>0</v>
      </c>
      <c r="H66" s="173">
        <v>0</v>
      </c>
      <c r="I66" s="173">
        <v>0</v>
      </c>
      <c r="J66" s="173">
        <v>0</v>
      </c>
      <c r="K66" s="173">
        <v>0</v>
      </c>
      <c r="L66" s="173">
        <v>0</v>
      </c>
      <c r="M66" s="173">
        <v>0</v>
      </c>
      <c r="N66" s="173">
        <v>0</v>
      </c>
      <c r="O66" s="173">
        <v>5</v>
      </c>
      <c r="P66" s="173">
        <v>0.85</v>
      </c>
      <c r="Q66" s="173">
        <v>5</v>
      </c>
      <c r="R66" s="173">
        <v>0.85</v>
      </c>
      <c r="S66" s="169" t="s">
        <v>1219</v>
      </c>
      <c r="T66" s="169">
        <v>2011</v>
      </c>
      <c r="U66" s="173">
        <v>16</v>
      </c>
      <c r="V66" s="173">
        <v>9.5</v>
      </c>
      <c r="W66" s="174">
        <v>40634</v>
      </c>
    </row>
    <row r="67" spans="1:23" x14ac:dyDescent="0.2">
      <c r="A67" s="171">
        <v>14202</v>
      </c>
      <c r="B67" s="172" t="s">
        <v>1226</v>
      </c>
      <c r="C67" s="172" t="s">
        <v>1216</v>
      </c>
      <c r="D67" s="172" t="s">
        <v>1225</v>
      </c>
      <c r="E67" s="173">
        <v>34.5</v>
      </c>
      <c r="F67" s="173">
        <v>4</v>
      </c>
      <c r="G67" s="173">
        <v>2</v>
      </c>
      <c r="H67" s="173">
        <v>2</v>
      </c>
      <c r="I67" s="173">
        <v>0</v>
      </c>
      <c r="J67" s="173">
        <v>0</v>
      </c>
      <c r="K67" s="173">
        <v>0</v>
      </c>
      <c r="L67" s="173">
        <v>0</v>
      </c>
      <c r="M67" s="173">
        <v>1</v>
      </c>
      <c r="N67" s="173">
        <v>1.6666666666666667</v>
      </c>
      <c r="O67" s="173">
        <v>6</v>
      </c>
      <c r="P67" s="173">
        <v>3.9666666666666668</v>
      </c>
      <c r="Q67" s="173">
        <v>7</v>
      </c>
      <c r="R67" s="173">
        <v>5.6333333333333337</v>
      </c>
      <c r="S67" s="169" t="s">
        <v>1219</v>
      </c>
      <c r="T67" s="169">
        <v>2011</v>
      </c>
      <c r="U67" s="173">
        <v>16</v>
      </c>
      <c r="V67" s="173">
        <v>9.5</v>
      </c>
      <c r="W67" s="174">
        <v>40664</v>
      </c>
    </row>
    <row r="68" spans="1:23" x14ac:dyDescent="0.2">
      <c r="A68" s="171">
        <v>14202</v>
      </c>
      <c r="B68" s="172" t="s">
        <v>1226</v>
      </c>
      <c r="C68" s="172" t="s">
        <v>1216</v>
      </c>
      <c r="D68" s="172" t="s">
        <v>1225</v>
      </c>
      <c r="E68" s="173">
        <v>34.5</v>
      </c>
      <c r="F68" s="173">
        <v>4</v>
      </c>
      <c r="G68" s="173">
        <v>0</v>
      </c>
      <c r="H68" s="173">
        <v>0</v>
      </c>
      <c r="I68" s="173">
        <v>0</v>
      </c>
      <c r="J68" s="173">
        <v>0</v>
      </c>
      <c r="K68" s="173">
        <v>0</v>
      </c>
      <c r="L68" s="173">
        <v>0</v>
      </c>
      <c r="M68" s="173">
        <v>0</v>
      </c>
      <c r="N68" s="173">
        <v>0</v>
      </c>
      <c r="O68" s="173">
        <v>3</v>
      </c>
      <c r="P68" s="173">
        <v>0.6</v>
      </c>
      <c r="Q68" s="173">
        <v>3</v>
      </c>
      <c r="R68" s="173">
        <v>0.6</v>
      </c>
      <c r="S68" s="169" t="s">
        <v>1219</v>
      </c>
      <c r="T68" s="169">
        <v>2011</v>
      </c>
      <c r="U68" s="173">
        <v>16</v>
      </c>
      <c r="V68" s="173">
        <v>9.5</v>
      </c>
      <c r="W68" s="174">
        <v>40695</v>
      </c>
    </row>
    <row r="69" spans="1:23" x14ac:dyDescent="0.2">
      <c r="A69" s="171">
        <v>14202</v>
      </c>
      <c r="B69" s="172" t="s">
        <v>1226</v>
      </c>
      <c r="C69" s="172" t="s">
        <v>1216</v>
      </c>
      <c r="D69" s="172" t="s">
        <v>1225</v>
      </c>
      <c r="E69" s="173">
        <v>34.5</v>
      </c>
      <c r="F69" s="173">
        <v>4</v>
      </c>
      <c r="G69" s="173">
        <v>0</v>
      </c>
      <c r="H69" s="173">
        <v>0</v>
      </c>
      <c r="I69" s="173">
        <v>0</v>
      </c>
      <c r="J69" s="173">
        <v>0</v>
      </c>
      <c r="K69" s="173">
        <v>0</v>
      </c>
      <c r="L69" s="173">
        <v>0</v>
      </c>
      <c r="M69" s="173">
        <v>2</v>
      </c>
      <c r="N69" s="173">
        <v>14.216666666666667</v>
      </c>
      <c r="O69" s="173">
        <v>7</v>
      </c>
      <c r="P69" s="173">
        <v>2.0833333333333335</v>
      </c>
      <c r="Q69" s="173">
        <v>9</v>
      </c>
      <c r="R69" s="173">
        <v>16.3</v>
      </c>
      <c r="S69" s="169" t="s">
        <v>1220</v>
      </c>
      <c r="T69" s="169">
        <v>2011</v>
      </c>
      <c r="U69" s="173">
        <v>12</v>
      </c>
      <c r="V69" s="173">
        <v>9.5</v>
      </c>
      <c r="W69" s="174">
        <v>40725</v>
      </c>
    </row>
    <row r="70" spans="1:23" x14ac:dyDescent="0.2">
      <c r="A70" s="171">
        <v>14202</v>
      </c>
      <c r="B70" s="172" t="s">
        <v>1226</v>
      </c>
      <c r="C70" s="172" t="s">
        <v>1216</v>
      </c>
      <c r="D70" s="172" t="s">
        <v>1225</v>
      </c>
      <c r="E70" s="173">
        <v>34.5</v>
      </c>
      <c r="F70" s="173">
        <v>4</v>
      </c>
      <c r="G70" s="173">
        <v>0</v>
      </c>
      <c r="H70" s="173">
        <v>0</v>
      </c>
      <c r="I70" s="173">
        <v>0</v>
      </c>
      <c r="J70" s="173">
        <v>0</v>
      </c>
      <c r="K70" s="173">
        <v>0</v>
      </c>
      <c r="L70" s="173">
        <v>0</v>
      </c>
      <c r="M70" s="173">
        <v>0</v>
      </c>
      <c r="N70" s="173">
        <v>0</v>
      </c>
      <c r="O70" s="173">
        <v>0</v>
      </c>
      <c r="P70" s="173">
        <v>0</v>
      </c>
      <c r="Q70" s="173">
        <v>0</v>
      </c>
      <c r="R70" s="173">
        <v>0</v>
      </c>
      <c r="S70" s="169" t="s">
        <v>1220</v>
      </c>
      <c r="T70" s="169">
        <v>2011</v>
      </c>
      <c r="U70" s="173">
        <v>12</v>
      </c>
      <c r="V70" s="173">
        <v>9.5</v>
      </c>
      <c r="W70" s="174">
        <v>40756</v>
      </c>
    </row>
    <row r="71" spans="1:23" x14ac:dyDescent="0.2">
      <c r="A71" s="171">
        <v>14204</v>
      </c>
      <c r="B71" s="172" t="s">
        <v>1228</v>
      </c>
      <c r="C71" s="172" t="s">
        <v>1216</v>
      </c>
      <c r="D71" s="172" t="s">
        <v>1225</v>
      </c>
      <c r="E71" s="173">
        <v>34.5</v>
      </c>
      <c r="F71" s="173">
        <v>4</v>
      </c>
      <c r="G71" s="173">
        <v>0</v>
      </c>
      <c r="H71" s="173">
        <v>0</v>
      </c>
      <c r="I71" s="173">
        <v>0</v>
      </c>
      <c r="J71" s="173">
        <v>0</v>
      </c>
      <c r="K71" s="173">
        <v>0</v>
      </c>
      <c r="L71" s="173">
        <v>0</v>
      </c>
      <c r="M71" s="173">
        <v>0</v>
      </c>
      <c r="N71" s="173">
        <v>0</v>
      </c>
      <c r="O71" s="173">
        <v>1</v>
      </c>
      <c r="P71" s="173">
        <v>0.05</v>
      </c>
      <c r="Q71" s="173">
        <v>1</v>
      </c>
      <c r="R71" s="173">
        <v>0.05</v>
      </c>
      <c r="S71" s="169" t="s">
        <v>1218</v>
      </c>
      <c r="T71" s="169">
        <v>2010</v>
      </c>
      <c r="U71" s="173">
        <v>14</v>
      </c>
      <c r="V71" s="173">
        <v>9.75</v>
      </c>
      <c r="W71" s="174">
        <v>40179</v>
      </c>
    </row>
    <row r="72" spans="1:23" x14ac:dyDescent="0.2">
      <c r="A72" s="171">
        <v>14204</v>
      </c>
      <c r="B72" s="172" t="s">
        <v>1228</v>
      </c>
      <c r="C72" s="172" t="s">
        <v>1216</v>
      </c>
      <c r="D72" s="172" t="s">
        <v>1225</v>
      </c>
      <c r="E72" s="173">
        <v>34.5</v>
      </c>
      <c r="F72" s="173">
        <v>4</v>
      </c>
      <c r="G72" s="173">
        <v>0</v>
      </c>
      <c r="H72" s="173">
        <v>0</v>
      </c>
      <c r="I72" s="173">
        <v>1</v>
      </c>
      <c r="J72" s="173">
        <v>3</v>
      </c>
      <c r="K72" s="173">
        <v>0</v>
      </c>
      <c r="L72" s="173">
        <v>0</v>
      </c>
      <c r="M72" s="173">
        <v>0</v>
      </c>
      <c r="N72" s="173">
        <v>0</v>
      </c>
      <c r="O72" s="173">
        <v>2</v>
      </c>
      <c r="P72" s="173">
        <v>0.11666666666666667</v>
      </c>
      <c r="Q72" s="173">
        <v>2</v>
      </c>
      <c r="R72" s="173">
        <v>0.11666666666666667</v>
      </c>
      <c r="S72" s="169" t="s">
        <v>1218</v>
      </c>
      <c r="T72" s="169">
        <v>2010</v>
      </c>
      <c r="U72" s="173">
        <v>14</v>
      </c>
      <c r="V72" s="173">
        <v>9.75</v>
      </c>
      <c r="W72" s="174">
        <v>40210</v>
      </c>
    </row>
    <row r="73" spans="1:23" x14ac:dyDescent="0.2">
      <c r="A73" s="171">
        <v>14204</v>
      </c>
      <c r="B73" s="172" t="s">
        <v>1228</v>
      </c>
      <c r="C73" s="172" t="s">
        <v>1216</v>
      </c>
      <c r="D73" s="172" t="s">
        <v>1225</v>
      </c>
      <c r="E73" s="173">
        <v>34.5</v>
      </c>
      <c r="F73" s="173">
        <v>4</v>
      </c>
      <c r="G73" s="173">
        <v>0</v>
      </c>
      <c r="H73" s="173">
        <v>0</v>
      </c>
      <c r="I73" s="173">
        <v>3</v>
      </c>
      <c r="J73" s="173">
        <v>14</v>
      </c>
      <c r="K73" s="173">
        <v>0</v>
      </c>
      <c r="L73" s="173">
        <v>0</v>
      </c>
      <c r="M73" s="173">
        <v>0</v>
      </c>
      <c r="N73" s="173">
        <v>0</v>
      </c>
      <c r="O73" s="173">
        <v>2</v>
      </c>
      <c r="P73" s="173">
        <v>0.11666666666666667</v>
      </c>
      <c r="Q73" s="173">
        <v>2</v>
      </c>
      <c r="R73" s="173">
        <v>0.11666666666666667</v>
      </c>
      <c r="S73" s="169" t="s">
        <v>1218</v>
      </c>
      <c r="T73" s="169">
        <v>2010</v>
      </c>
      <c r="U73" s="173">
        <v>14</v>
      </c>
      <c r="V73" s="173">
        <v>9.75</v>
      </c>
      <c r="W73" s="174">
        <v>40238</v>
      </c>
    </row>
    <row r="74" spans="1:23" x14ac:dyDescent="0.2">
      <c r="A74" s="171">
        <v>14204</v>
      </c>
      <c r="B74" s="172" t="s">
        <v>1228</v>
      </c>
      <c r="C74" s="172" t="s">
        <v>1216</v>
      </c>
      <c r="D74" s="172" t="s">
        <v>1225</v>
      </c>
      <c r="E74" s="173">
        <v>34.5</v>
      </c>
      <c r="F74" s="173">
        <v>4</v>
      </c>
      <c r="G74" s="173">
        <v>0</v>
      </c>
      <c r="H74" s="173">
        <v>0</v>
      </c>
      <c r="I74" s="173">
        <v>3</v>
      </c>
      <c r="J74" s="173">
        <v>11</v>
      </c>
      <c r="K74" s="173">
        <v>0</v>
      </c>
      <c r="L74" s="173">
        <v>0</v>
      </c>
      <c r="M74" s="173">
        <v>0</v>
      </c>
      <c r="N74" s="173">
        <v>0</v>
      </c>
      <c r="O74" s="173">
        <v>2</v>
      </c>
      <c r="P74" s="173">
        <v>0.13333333333333333</v>
      </c>
      <c r="Q74" s="173">
        <v>2</v>
      </c>
      <c r="R74" s="173">
        <v>0.13333333333333333</v>
      </c>
      <c r="S74" s="169" t="s">
        <v>1219</v>
      </c>
      <c r="T74" s="169">
        <v>2010</v>
      </c>
      <c r="U74" s="173">
        <v>14</v>
      </c>
      <c r="V74" s="173">
        <v>9.75</v>
      </c>
      <c r="W74" s="174">
        <v>40269</v>
      </c>
    </row>
    <row r="75" spans="1:23" x14ac:dyDescent="0.2">
      <c r="A75" s="171">
        <v>14204</v>
      </c>
      <c r="B75" s="172" t="s">
        <v>1228</v>
      </c>
      <c r="C75" s="172" t="s">
        <v>1216</v>
      </c>
      <c r="D75" s="172" t="s">
        <v>1225</v>
      </c>
      <c r="E75" s="173">
        <v>34.5</v>
      </c>
      <c r="F75" s="173">
        <v>4</v>
      </c>
      <c r="G75" s="173">
        <v>0</v>
      </c>
      <c r="H75" s="173">
        <v>0</v>
      </c>
      <c r="I75" s="173">
        <v>2</v>
      </c>
      <c r="J75" s="173">
        <v>5</v>
      </c>
      <c r="K75" s="173">
        <v>0</v>
      </c>
      <c r="L75" s="173">
        <v>0</v>
      </c>
      <c r="M75" s="173">
        <v>0</v>
      </c>
      <c r="N75" s="173">
        <v>0</v>
      </c>
      <c r="O75" s="173">
        <v>0</v>
      </c>
      <c r="P75" s="173">
        <v>0</v>
      </c>
      <c r="Q75" s="173">
        <v>0</v>
      </c>
      <c r="R75" s="173">
        <v>0</v>
      </c>
      <c r="S75" s="169" t="s">
        <v>1219</v>
      </c>
      <c r="T75" s="169">
        <v>2010</v>
      </c>
      <c r="U75" s="173">
        <v>14</v>
      </c>
      <c r="V75" s="173">
        <v>9.75</v>
      </c>
      <c r="W75" s="174">
        <v>40299</v>
      </c>
    </row>
    <row r="76" spans="1:23" x14ac:dyDescent="0.2">
      <c r="A76" s="171">
        <v>14204</v>
      </c>
      <c r="B76" s="172" t="s">
        <v>1228</v>
      </c>
      <c r="C76" s="172" t="s">
        <v>1216</v>
      </c>
      <c r="D76" s="172" t="s">
        <v>1225</v>
      </c>
      <c r="E76" s="173">
        <v>34.5</v>
      </c>
      <c r="F76" s="173">
        <v>4</v>
      </c>
      <c r="G76" s="173">
        <v>0</v>
      </c>
      <c r="H76" s="173">
        <v>0</v>
      </c>
      <c r="I76" s="173">
        <v>1</v>
      </c>
      <c r="J76" s="173">
        <v>30</v>
      </c>
      <c r="K76" s="173">
        <v>0</v>
      </c>
      <c r="L76" s="173">
        <v>0</v>
      </c>
      <c r="M76" s="173">
        <v>0</v>
      </c>
      <c r="N76" s="173">
        <v>0</v>
      </c>
      <c r="O76" s="173">
        <v>0</v>
      </c>
      <c r="P76" s="173">
        <v>0</v>
      </c>
      <c r="Q76" s="173">
        <v>0</v>
      </c>
      <c r="R76" s="173">
        <v>0</v>
      </c>
      <c r="S76" s="169" t="s">
        <v>1219</v>
      </c>
      <c r="T76" s="169">
        <v>2010</v>
      </c>
      <c r="U76" s="173">
        <v>14</v>
      </c>
      <c r="V76" s="173">
        <v>9.75</v>
      </c>
      <c r="W76" s="174">
        <v>40330</v>
      </c>
    </row>
    <row r="77" spans="1:23" x14ac:dyDescent="0.2">
      <c r="A77" s="171">
        <v>14204</v>
      </c>
      <c r="B77" s="172" t="s">
        <v>1228</v>
      </c>
      <c r="C77" s="172" t="s">
        <v>1216</v>
      </c>
      <c r="D77" s="172" t="s">
        <v>1225</v>
      </c>
      <c r="E77" s="173">
        <v>34.5</v>
      </c>
      <c r="F77" s="173">
        <v>4</v>
      </c>
      <c r="G77" s="173">
        <v>0</v>
      </c>
      <c r="H77" s="173">
        <v>0</v>
      </c>
      <c r="I77" s="173">
        <v>1</v>
      </c>
      <c r="J77" s="173">
        <v>4</v>
      </c>
      <c r="K77" s="173">
        <v>0</v>
      </c>
      <c r="L77" s="173">
        <v>0</v>
      </c>
      <c r="M77" s="173">
        <v>0</v>
      </c>
      <c r="N77" s="173">
        <v>0</v>
      </c>
      <c r="O77" s="173">
        <v>4</v>
      </c>
      <c r="P77" s="173">
        <v>0.3</v>
      </c>
      <c r="Q77" s="173">
        <v>4</v>
      </c>
      <c r="R77" s="173">
        <v>0.3</v>
      </c>
      <c r="S77" s="169" t="s">
        <v>1220</v>
      </c>
      <c r="T77" s="169">
        <v>2010</v>
      </c>
      <c r="U77" s="173">
        <v>14</v>
      </c>
      <c r="V77" s="173">
        <v>9.75</v>
      </c>
      <c r="W77" s="174">
        <v>40360</v>
      </c>
    </row>
    <row r="78" spans="1:23" x14ac:dyDescent="0.2">
      <c r="A78" s="171">
        <v>14204</v>
      </c>
      <c r="B78" s="172" t="s">
        <v>1228</v>
      </c>
      <c r="C78" s="172" t="s">
        <v>1216</v>
      </c>
      <c r="D78" s="172" t="s">
        <v>1225</v>
      </c>
      <c r="E78" s="173">
        <v>34.5</v>
      </c>
      <c r="F78" s="173">
        <v>4</v>
      </c>
      <c r="G78" s="173">
        <v>0</v>
      </c>
      <c r="H78" s="173">
        <v>0</v>
      </c>
      <c r="I78" s="173">
        <v>2</v>
      </c>
      <c r="J78" s="173">
        <v>8</v>
      </c>
      <c r="K78" s="173">
        <v>0</v>
      </c>
      <c r="L78" s="173">
        <v>0</v>
      </c>
      <c r="M78" s="173">
        <v>0</v>
      </c>
      <c r="N78" s="173">
        <v>0</v>
      </c>
      <c r="O78" s="173">
        <v>2</v>
      </c>
      <c r="P78" s="173">
        <v>0.31666666666666665</v>
      </c>
      <c r="Q78" s="173">
        <v>2</v>
      </c>
      <c r="R78" s="173">
        <v>0.31666666666666665</v>
      </c>
      <c r="S78" s="169" t="s">
        <v>1220</v>
      </c>
      <c r="T78" s="169">
        <v>2010</v>
      </c>
      <c r="U78" s="173">
        <v>14</v>
      </c>
      <c r="V78" s="173">
        <v>9.75</v>
      </c>
      <c r="W78" s="174">
        <v>40391</v>
      </c>
    </row>
    <row r="79" spans="1:23" x14ac:dyDescent="0.2">
      <c r="A79" s="171">
        <v>14204</v>
      </c>
      <c r="B79" s="172" t="s">
        <v>1228</v>
      </c>
      <c r="C79" s="172" t="s">
        <v>1216</v>
      </c>
      <c r="D79" s="172" t="s">
        <v>1225</v>
      </c>
      <c r="E79" s="173">
        <v>34.5</v>
      </c>
      <c r="F79" s="173">
        <v>4</v>
      </c>
      <c r="G79" s="173">
        <v>0</v>
      </c>
      <c r="H79" s="173">
        <v>0</v>
      </c>
      <c r="I79" s="173">
        <v>4</v>
      </c>
      <c r="J79" s="173">
        <v>24</v>
      </c>
      <c r="K79" s="173">
        <v>0</v>
      </c>
      <c r="L79" s="173">
        <v>0</v>
      </c>
      <c r="M79" s="173">
        <v>0</v>
      </c>
      <c r="N79" s="173">
        <v>0</v>
      </c>
      <c r="O79" s="173">
        <v>0</v>
      </c>
      <c r="P79" s="173">
        <v>0</v>
      </c>
      <c r="Q79" s="173">
        <v>0</v>
      </c>
      <c r="R79" s="173">
        <v>0</v>
      </c>
      <c r="S79" s="169" t="s">
        <v>1220</v>
      </c>
      <c r="T79" s="169">
        <v>2010</v>
      </c>
      <c r="U79" s="173">
        <v>14</v>
      </c>
      <c r="V79" s="173">
        <v>9.75</v>
      </c>
      <c r="W79" s="174">
        <v>40422</v>
      </c>
    </row>
    <row r="80" spans="1:23" x14ac:dyDescent="0.2">
      <c r="A80" s="171">
        <v>14204</v>
      </c>
      <c r="B80" s="172" t="s">
        <v>1228</v>
      </c>
      <c r="C80" s="172" t="s">
        <v>1216</v>
      </c>
      <c r="D80" s="172" t="s">
        <v>1225</v>
      </c>
      <c r="E80" s="173">
        <v>34.5</v>
      </c>
      <c r="F80" s="173">
        <v>4</v>
      </c>
      <c r="G80" s="173">
        <v>0</v>
      </c>
      <c r="H80" s="173">
        <v>0</v>
      </c>
      <c r="I80" s="173">
        <v>0</v>
      </c>
      <c r="J80" s="173">
        <v>0</v>
      </c>
      <c r="K80" s="173">
        <v>0</v>
      </c>
      <c r="L80" s="173">
        <v>0</v>
      </c>
      <c r="M80" s="173">
        <v>0</v>
      </c>
      <c r="N80" s="173">
        <v>0</v>
      </c>
      <c r="O80" s="173">
        <v>0</v>
      </c>
      <c r="P80" s="173">
        <v>0</v>
      </c>
      <c r="Q80" s="173">
        <v>0</v>
      </c>
      <c r="R80" s="173">
        <v>0</v>
      </c>
      <c r="S80" s="169" t="s">
        <v>1221</v>
      </c>
      <c r="T80" s="169">
        <v>2010</v>
      </c>
      <c r="U80" s="173">
        <v>16</v>
      </c>
      <c r="V80" s="173">
        <v>9.75</v>
      </c>
      <c r="W80" s="174">
        <v>40452</v>
      </c>
    </row>
    <row r="81" spans="1:23" x14ac:dyDescent="0.2">
      <c r="A81" s="171">
        <v>14204</v>
      </c>
      <c r="B81" s="172" t="s">
        <v>1228</v>
      </c>
      <c r="C81" s="172" t="s">
        <v>1216</v>
      </c>
      <c r="D81" s="172" t="s">
        <v>1225</v>
      </c>
      <c r="E81" s="173">
        <v>34.5</v>
      </c>
      <c r="F81" s="173">
        <v>4</v>
      </c>
      <c r="G81" s="173">
        <v>0</v>
      </c>
      <c r="H81" s="173">
        <v>0</v>
      </c>
      <c r="I81" s="173">
        <v>0</v>
      </c>
      <c r="J81" s="173">
        <v>0</v>
      </c>
      <c r="K81" s="173">
        <v>0</v>
      </c>
      <c r="L81" s="173">
        <v>0</v>
      </c>
      <c r="M81" s="173">
        <v>0</v>
      </c>
      <c r="N81" s="173">
        <v>0</v>
      </c>
      <c r="O81" s="173">
        <v>2</v>
      </c>
      <c r="P81" s="173">
        <v>0.58333333333333337</v>
      </c>
      <c r="Q81" s="173">
        <v>2</v>
      </c>
      <c r="R81" s="173">
        <v>0.58333333333333337</v>
      </c>
      <c r="S81" s="169" t="s">
        <v>1221</v>
      </c>
      <c r="T81" s="169">
        <v>2010</v>
      </c>
      <c r="U81" s="173">
        <v>16</v>
      </c>
      <c r="V81" s="173">
        <v>9.75</v>
      </c>
      <c r="W81" s="174">
        <v>40483</v>
      </c>
    </row>
    <row r="82" spans="1:23" x14ac:dyDescent="0.2">
      <c r="A82" s="171">
        <v>14204</v>
      </c>
      <c r="B82" s="172" t="s">
        <v>1228</v>
      </c>
      <c r="C82" s="172" t="s">
        <v>1216</v>
      </c>
      <c r="D82" s="172" t="s">
        <v>1225</v>
      </c>
      <c r="E82" s="173">
        <v>34.5</v>
      </c>
      <c r="F82" s="173">
        <v>4</v>
      </c>
      <c r="G82" s="173">
        <v>0</v>
      </c>
      <c r="H82" s="173">
        <v>0</v>
      </c>
      <c r="I82" s="173">
        <v>0</v>
      </c>
      <c r="J82" s="173">
        <v>0</v>
      </c>
      <c r="K82" s="173">
        <v>0</v>
      </c>
      <c r="L82" s="173">
        <v>0</v>
      </c>
      <c r="M82" s="173">
        <v>1</v>
      </c>
      <c r="N82" s="173">
        <v>1.6833333333333333</v>
      </c>
      <c r="O82" s="173">
        <v>0</v>
      </c>
      <c r="P82" s="173">
        <v>0.68333333333333335</v>
      </c>
      <c r="Q82" s="173">
        <v>1</v>
      </c>
      <c r="R82" s="173">
        <v>2.3666666666666667</v>
      </c>
      <c r="S82" s="169" t="s">
        <v>1221</v>
      </c>
      <c r="T82" s="169">
        <v>2010</v>
      </c>
      <c r="U82" s="173">
        <v>16</v>
      </c>
      <c r="V82" s="173">
        <v>9.75</v>
      </c>
      <c r="W82" s="174">
        <v>40513</v>
      </c>
    </row>
    <row r="83" spans="1:23" x14ac:dyDescent="0.2">
      <c r="A83" s="171">
        <v>14204</v>
      </c>
      <c r="B83" s="172" t="s">
        <v>1228</v>
      </c>
      <c r="C83" s="172" t="s">
        <v>1216</v>
      </c>
      <c r="D83" s="172" t="s">
        <v>1225</v>
      </c>
      <c r="E83" s="173">
        <v>34.5</v>
      </c>
      <c r="F83" s="173">
        <v>4</v>
      </c>
      <c r="G83" s="173">
        <v>0</v>
      </c>
      <c r="H83" s="173">
        <v>0</v>
      </c>
      <c r="I83" s="173">
        <v>0</v>
      </c>
      <c r="J83" s="173">
        <v>0</v>
      </c>
      <c r="K83" s="173">
        <v>0</v>
      </c>
      <c r="L83" s="173">
        <v>0</v>
      </c>
      <c r="M83" s="173">
        <v>0</v>
      </c>
      <c r="N83" s="173">
        <v>0</v>
      </c>
      <c r="O83" s="173">
        <v>1</v>
      </c>
      <c r="P83" s="173">
        <v>6.6666666666666666E-2</v>
      </c>
      <c r="Q83" s="173">
        <v>1</v>
      </c>
      <c r="R83" s="173">
        <v>6.6666666666666666E-2</v>
      </c>
      <c r="S83" s="169" t="s">
        <v>1218</v>
      </c>
      <c r="T83" s="169">
        <v>2011</v>
      </c>
      <c r="U83" s="173">
        <v>16</v>
      </c>
      <c r="V83" s="173">
        <v>10</v>
      </c>
      <c r="W83" s="174">
        <v>40544</v>
      </c>
    </row>
    <row r="84" spans="1:23" x14ac:dyDescent="0.2">
      <c r="A84" s="171">
        <v>14204</v>
      </c>
      <c r="B84" s="172" t="s">
        <v>1228</v>
      </c>
      <c r="C84" s="172" t="s">
        <v>1216</v>
      </c>
      <c r="D84" s="172" t="s">
        <v>1225</v>
      </c>
      <c r="E84" s="173">
        <v>34.5</v>
      </c>
      <c r="F84" s="173">
        <v>4</v>
      </c>
      <c r="G84" s="173">
        <v>0</v>
      </c>
      <c r="H84" s="173">
        <v>0</v>
      </c>
      <c r="I84" s="173">
        <v>0</v>
      </c>
      <c r="J84" s="173">
        <v>0</v>
      </c>
      <c r="K84" s="173">
        <v>0</v>
      </c>
      <c r="L84" s="173">
        <v>0</v>
      </c>
      <c r="M84" s="173">
        <v>0</v>
      </c>
      <c r="N84" s="173">
        <v>0</v>
      </c>
      <c r="O84" s="173">
        <v>2</v>
      </c>
      <c r="P84" s="173">
        <v>0.15</v>
      </c>
      <c r="Q84" s="173">
        <v>2</v>
      </c>
      <c r="R84" s="173">
        <v>0.15</v>
      </c>
      <c r="S84" s="169" t="s">
        <v>1218</v>
      </c>
      <c r="T84" s="169">
        <v>2011</v>
      </c>
      <c r="U84" s="173">
        <v>16</v>
      </c>
      <c r="V84" s="173">
        <v>10</v>
      </c>
      <c r="W84" s="174">
        <v>40575</v>
      </c>
    </row>
    <row r="85" spans="1:23" x14ac:dyDescent="0.2">
      <c r="A85" s="171">
        <v>14204</v>
      </c>
      <c r="B85" s="172" t="s">
        <v>1228</v>
      </c>
      <c r="C85" s="172" t="s">
        <v>1216</v>
      </c>
      <c r="D85" s="172" t="s">
        <v>1225</v>
      </c>
      <c r="E85" s="173">
        <v>34.5</v>
      </c>
      <c r="F85" s="173">
        <v>4</v>
      </c>
      <c r="G85" s="173">
        <v>0</v>
      </c>
      <c r="H85" s="173">
        <v>0</v>
      </c>
      <c r="I85" s="173">
        <v>0</v>
      </c>
      <c r="J85" s="173">
        <v>0</v>
      </c>
      <c r="K85" s="173">
        <v>0</v>
      </c>
      <c r="L85" s="173">
        <v>0</v>
      </c>
      <c r="M85" s="173">
        <v>0</v>
      </c>
      <c r="N85" s="173">
        <v>0</v>
      </c>
      <c r="O85" s="173">
        <v>3</v>
      </c>
      <c r="P85" s="173">
        <v>0.16666666666666666</v>
      </c>
      <c r="Q85" s="173">
        <v>3</v>
      </c>
      <c r="R85" s="173">
        <v>0.16666666666666666</v>
      </c>
      <c r="S85" s="169" t="s">
        <v>1218</v>
      </c>
      <c r="T85" s="169">
        <v>2011</v>
      </c>
      <c r="U85" s="173">
        <v>16</v>
      </c>
      <c r="V85" s="173">
        <v>10</v>
      </c>
      <c r="W85" s="174">
        <v>40603</v>
      </c>
    </row>
    <row r="86" spans="1:23" x14ac:dyDescent="0.2">
      <c r="A86" s="171">
        <v>14204</v>
      </c>
      <c r="B86" s="172" t="s">
        <v>1228</v>
      </c>
      <c r="C86" s="172" t="s">
        <v>1216</v>
      </c>
      <c r="D86" s="172" t="s">
        <v>1225</v>
      </c>
      <c r="E86" s="173">
        <v>34.5</v>
      </c>
      <c r="F86" s="173">
        <v>4</v>
      </c>
      <c r="G86" s="173">
        <v>0</v>
      </c>
      <c r="H86" s="173">
        <v>0</v>
      </c>
      <c r="I86" s="173">
        <v>0</v>
      </c>
      <c r="J86" s="173">
        <v>0</v>
      </c>
      <c r="K86" s="173">
        <v>0</v>
      </c>
      <c r="L86" s="173">
        <v>0</v>
      </c>
      <c r="M86" s="173">
        <v>0</v>
      </c>
      <c r="N86" s="173">
        <v>0</v>
      </c>
      <c r="O86" s="173">
        <v>7</v>
      </c>
      <c r="P86" s="173">
        <v>0.53333333333333333</v>
      </c>
      <c r="Q86" s="173">
        <v>7</v>
      </c>
      <c r="R86" s="173">
        <v>0.53333333333333333</v>
      </c>
      <c r="S86" s="169" t="s">
        <v>1219</v>
      </c>
      <c r="T86" s="169">
        <v>2011</v>
      </c>
      <c r="U86" s="173">
        <v>16</v>
      </c>
      <c r="V86" s="173">
        <v>9.5</v>
      </c>
      <c r="W86" s="174">
        <v>40634</v>
      </c>
    </row>
    <row r="87" spans="1:23" x14ac:dyDescent="0.2">
      <c r="A87" s="171">
        <v>14204</v>
      </c>
      <c r="B87" s="172" t="s">
        <v>1228</v>
      </c>
      <c r="C87" s="172" t="s">
        <v>1216</v>
      </c>
      <c r="D87" s="172" t="s">
        <v>1225</v>
      </c>
      <c r="E87" s="173">
        <v>34.5</v>
      </c>
      <c r="F87" s="173">
        <v>4</v>
      </c>
      <c r="G87" s="173">
        <v>0</v>
      </c>
      <c r="H87" s="173">
        <v>0</v>
      </c>
      <c r="I87" s="173">
        <v>0</v>
      </c>
      <c r="J87" s="173">
        <v>0</v>
      </c>
      <c r="K87" s="173">
        <v>2</v>
      </c>
      <c r="L87" s="173">
        <v>14</v>
      </c>
      <c r="M87" s="173">
        <v>0</v>
      </c>
      <c r="N87" s="173">
        <v>0</v>
      </c>
      <c r="O87" s="173">
        <v>5</v>
      </c>
      <c r="P87" s="173">
        <v>1.5666666666666667</v>
      </c>
      <c r="Q87" s="173">
        <v>5</v>
      </c>
      <c r="R87" s="173">
        <v>1.5666666666666667</v>
      </c>
      <c r="S87" s="169" t="s">
        <v>1219</v>
      </c>
      <c r="T87" s="169">
        <v>2011</v>
      </c>
      <c r="U87" s="173">
        <v>16</v>
      </c>
      <c r="V87" s="173">
        <v>9.5</v>
      </c>
      <c r="W87" s="174">
        <v>40664</v>
      </c>
    </row>
    <row r="88" spans="1:23" x14ac:dyDescent="0.2">
      <c r="A88" s="171">
        <v>14204</v>
      </c>
      <c r="B88" s="172" t="s">
        <v>1228</v>
      </c>
      <c r="C88" s="172" t="s">
        <v>1216</v>
      </c>
      <c r="D88" s="172" t="s">
        <v>1225</v>
      </c>
      <c r="E88" s="173">
        <v>34.5</v>
      </c>
      <c r="F88" s="173">
        <v>4</v>
      </c>
      <c r="G88" s="173">
        <v>0</v>
      </c>
      <c r="H88" s="173">
        <v>0</v>
      </c>
      <c r="I88" s="173">
        <v>0</v>
      </c>
      <c r="J88" s="173">
        <v>0</v>
      </c>
      <c r="K88" s="173">
        <v>0</v>
      </c>
      <c r="L88" s="173">
        <v>0</v>
      </c>
      <c r="M88" s="173">
        <v>1</v>
      </c>
      <c r="N88" s="173">
        <v>3.7</v>
      </c>
      <c r="O88" s="173">
        <v>0</v>
      </c>
      <c r="P88" s="173">
        <v>0</v>
      </c>
      <c r="Q88" s="173">
        <v>1</v>
      </c>
      <c r="R88" s="173">
        <v>3.7</v>
      </c>
      <c r="S88" s="169" t="s">
        <v>1219</v>
      </c>
      <c r="T88" s="169">
        <v>2011</v>
      </c>
      <c r="U88" s="173">
        <v>16</v>
      </c>
      <c r="V88" s="173">
        <v>9.5</v>
      </c>
      <c r="W88" s="174">
        <v>40695</v>
      </c>
    </row>
    <row r="89" spans="1:23" x14ac:dyDescent="0.2">
      <c r="A89" s="171">
        <v>14204</v>
      </c>
      <c r="B89" s="172" t="s">
        <v>1228</v>
      </c>
      <c r="C89" s="172" t="s">
        <v>1216</v>
      </c>
      <c r="D89" s="172" t="s">
        <v>1225</v>
      </c>
      <c r="E89" s="173">
        <v>34.5</v>
      </c>
      <c r="F89" s="173">
        <v>4</v>
      </c>
      <c r="G89" s="173">
        <v>0</v>
      </c>
      <c r="H89" s="173">
        <v>0</v>
      </c>
      <c r="I89" s="173">
        <v>0</v>
      </c>
      <c r="J89" s="173">
        <v>0</v>
      </c>
      <c r="K89" s="173">
        <v>0</v>
      </c>
      <c r="L89" s="173">
        <v>0</v>
      </c>
      <c r="M89" s="173">
        <v>0</v>
      </c>
      <c r="N89" s="173">
        <v>0</v>
      </c>
      <c r="O89" s="173">
        <v>4</v>
      </c>
      <c r="P89" s="173">
        <v>0.35</v>
      </c>
      <c r="Q89" s="173">
        <v>4</v>
      </c>
      <c r="R89" s="173">
        <v>0.35</v>
      </c>
      <c r="S89" s="169" t="s">
        <v>1220</v>
      </c>
      <c r="T89" s="169">
        <v>2011</v>
      </c>
      <c r="U89" s="173">
        <v>12</v>
      </c>
      <c r="V89" s="173">
        <v>9.5</v>
      </c>
      <c r="W89" s="174">
        <v>40725</v>
      </c>
    </row>
    <row r="90" spans="1:23" x14ac:dyDescent="0.2">
      <c r="A90" s="171">
        <v>14204</v>
      </c>
      <c r="B90" s="172" t="s">
        <v>1228</v>
      </c>
      <c r="C90" s="172" t="s">
        <v>1216</v>
      </c>
      <c r="D90" s="172" t="s">
        <v>1225</v>
      </c>
      <c r="E90" s="173">
        <v>34.5</v>
      </c>
      <c r="F90" s="173">
        <v>4</v>
      </c>
      <c r="G90" s="173">
        <v>0</v>
      </c>
      <c r="H90" s="173">
        <v>0</v>
      </c>
      <c r="I90" s="173">
        <v>0</v>
      </c>
      <c r="J90" s="173">
        <v>0</v>
      </c>
      <c r="K90" s="173">
        <v>0</v>
      </c>
      <c r="L90" s="173">
        <v>0</v>
      </c>
      <c r="M90" s="173">
        <v>0</v>
      </c>
      <c r="N90" s="173">
        <v>0</v>
      </c>
      <c r="O90" s="173">
        <v>3</v>
      </c>
      <c r="P90" s="173">
        <v>2.2833333333333332</v>
      </c>
      <c r="Q90" s="173">
        <v>3</v>
      </c>
      <c r="R90" s="173">
        <v>2.2833333333333332</v>
      </c>
      <c r="S90" s="169" t="s">
        <v>1220</v>
      </c>
      <c r="T90" s="169">
        <v>2011</v>
      </c>
      <c r="U90" s="173">
        <v>12</v>
      </c>
      <c r="V90" s="173">
        <v>9.5</v>
      </c>
      <c r="W90" s="174">
        <v>40756</v>
      </c>
    </row>
    <row r="91" spans="1:23" x14ac:dyDescent="0.2">
      <c r="A91" s="171">
        <v>14203</v>
      </c>
      <c r="B91" s="172" t="s">
        <v>1229</v>
      </c>
      <c r="C91" s="172" t="s">
        <v>1216</v>
      </c>
      <c r="D91" s="172" t="s">
        <v>1225</v>
      </c>
      <c r="E91" s="173">
        <v>34.5</v>
      </c>
      <c r="F91" s="173">
        <v>4</v>
      </c>
      <c r="G91" s="173">
        <v>0</v>
      </c>
      <c r="H91" s="173">
        <v>0</v>
      </c>
      <c r="I91" s="173">
        <v>0</v>
      </c>
      <c r="J91" s="173">
        <v>0</v>
      </c>
      <c r="K91" s="173">
        <v>0</v>
      </c>
      <c r="L91" s="173">
        <v>0</v>
      </c>
      <c r="M91" s="173">
        <v>0</v>
      </c>
      <c r="N91" s="173">
        <v>0</v>
      </c>
      <c r="O91" s="173">
        <v>2</v>
      </c>
      <c r="P91" s="173">
        <v>6.6666666666666666E-2</v>
      </c>
      <c r="Q91" s="173">
        <v>2</v>
      </c>
      <c r="R91" s="173">
        <v>6.6666666666666666E-2</v>
      </c>
      <c r="S91" s="169" t="s">
        <v>1218</v>
      </c>
      <c r="T91" s="169">
        <v>2010</v>
      </c>
      <c r="U91" s="173">
        <v>14</v>
      </c>
      <c r="V91" s="173">
        <v>9.75</v>
      </c>
      <c r="W91" s="174">
        <v>40179</v>
      </c>
    </row>
    <row r="92" spans="1:23" x14ac:dyDescent="0.2">
      <c r="A92" s="171">
        <v>14203</v>
      </c>
      <c r="B92" s="172" t="s">
        <v>1229</v>
      </c>
      <c r="C92" s="172" t="s">
        <v>1216</v>
      </c>
      <c r="D92" s="172" t="s">
        <v>1225</v>
      </c>
      <c r="E92" s="173">
        <v>34.5</v>
      </c>
      <c r="F92" s="173">
        <v>4</v>
      </c>
      <c r="G92" s="173">
        <v>0</v>
      </c>
      <c r="H92" s="173">
        <v>0</v>
      </c>
      <c r="I92" s="173">
        <v>1</v>
      </c>
      <c r="J92" s="173">
        <v>2</v>
      </c>
      <c r="K92" s="173">
        <v>0</v>
      </c>
      <c r="L92" s="173">
        <v>0</v>
      </c>
      <c r="M92" s="173">
        <v>0</v>
      </c>
      <c r="N92" s="173">
        <v>0</v>
      </c>
      <c r="O92" s="173">
        <v>3</v>
      </c>
      <c r="P92" s="173">
        <v>1.8</v>
      </c>
      <c r="Q92" s="173">
        <v>3</v>
      </c>
      <c r="R92" s="173">
        <v>1.8</v>
      </c>
      <c r="S92" s="169" t="s">
        <v>1218</v>
      </c>
      <c r="T92" s="169">
        <v>2010</v>
      </c>
      <c r="U92" s="173">
        <v>14</v>
      </c>
      <c r="V92" s="173">
        <v>9.75</v>
      </c>
      <c r="W92" s="174">
        <v>40210</v>
      </c>
    </row>
    <row r="93" spans="1:23" x14ac:dyDescent="0.2">
      <c r="A93" s="171">
        <v>14203</v>
      </c>
      <c r="B93" s="172" t="s">
        <v>1229</v>
      </c>
      <c r="C93" s="172" t="s">
        <v>1216</v>
      </c>
      <c r="D93" s="172" t="s">
        <v>1225</v>
      </c>
      <c r="E93" s="173">
        <v>34.5</v>
      </c>
      <c r="F93" s="173">
        <v>4</v>
      </c>
      <c r="G93" s="173">
        <v>0</v>
      </c>
      <c r="H93" s="173">
        <v>0</v>
      </c>
      <c r="I93" s="173">
        <v>0</v>
      </c>
      <c r="J93" s="173">
        <v>0</v>
      </c>
      <c r="K93" s="173">
        <v>0</v>
      </c>
      <c r="L93" s="173">
        <v>0</v>
      </c>
      <c r="M93" s="173">
        <v>0</v>
      </c>
      <c r="N93" s="173">
        <v>0</v>
      </c>
      <c r="O93" s="173">
        <v>0</v>
      </c>
      <c r="P93" s="173">
        <v>0</v>
      </c>
      <c r="Q93" s="173">
        <v>0</v>
      </c>
      <c r="R93" s="173">
        <v>0</v>
      </c>
      <c r="S93" s="169" t="s">
        <v>1218</v>
      </c>
      <c r="T93" s="169">
        <v>2010</v>
      </c>
      <c r="U93" s="173">
        <v>14</v>
      </c>
      <c r="V93" s="173">
        <v>9.75</v>
      </c>
      <c r="W93" s="174">
        <v>40238</v>
      </c>
    </row>
    <row r="94" spans="1:23" x14ac:dyDescent="0.2">
      <c r="A94" s="171">
        <v>14203</v>
      </c>
      <c r="B94" s="172" t="s">
        <v>1229</v>
      </c>
      <c r="C94" s="172" t="s">
        <v>1216</v>
      </c>
      <c r="D94" s="172" t="s">
        <v>1225</v>
      </c>
      <c r="E94" s="173">
        <v>34.5</v>
      </c>
      <c r="F94" s="173">
        <v>4</v>
      </c>
      <c r="G94" s="173">
        <v>1</v>
      </c>
      <c r="H94" s="173">
        <v>1</v>
      </c>
      <c r="I94" s="173">
        <v>0</v>
      </c>
      <c r="J94" s="173">
        <v>0</v>
      </c>
      <c r="K94" s="173">
        <v>0</v>
      </c>
      <c r="L94" s="173">
        <v>0</v>
      </c>
      <c r="M94" s="173">
        <v>0</v>
      </c>
      <c r="N94" s="173">
        <v>0</v>
      </c>
      <c r="O94" s="173">
        <v>0</v>
      </c>
      <c r="P94" s="173">
        <v>0</v>
      </c>
      <c r="Q94" s="173">
        <v>0</v>
      </c>
      <c r="R94" s="173">
        <v>0</v>
      </c>
      <c r="S94" s="169" t="s">
        <v>1219</v>
      </c>
      <c r="T94" s="169">
        <v>2010</v>
      </c>
      <c r="U94" s="173">
        <v>14</v>
      </c>
      <c r="V94" s="173">
        <v>9.75</v>
      </c>
      <c r="W94" s="174">
        <v>40269</v>
      </c>
    </row>
    <row r="95" spans="1:23" x14ac:dyDescent="0.2">
      <c r="A95" s="171">
        <v>14203</v>
      </c>
      <c r="B95" s="172" t="s">
        <v>1229</v>
      </c>
      <c r="C95" s="172" t="s">
        <v>1216</v>
      </c>
      <c r="D95" s="172" t="s">
        <v>1225</v>
      </c>
      <c r="E95" s="173">
        <v>34.5</v>
      </c>
      <c r="F95" s="173">
        <v>4</v>
      </c>
      <c r="G95" s="173">
        <v>0</v>
      </c>
      <c r="H95" s="173">
        <v>0</v>
      </c>
      <c r="I95" s="173">
        <v>0</v>
      </c>
      <c r="J95" s="173">
        <v>0</v>
      </c>
      <c r="K95" s="173">
        <v>0</v>
      </c>
      <c r="L95" s="173">
        <v>0</v>
      </c>
      <c r="M95" s="173">
        <v>0</v>
      </c>
      <c r="N95" s="173">
        <v>0</v>
      </c>
      <c r="O95" s="173">
        <v>1</v>
      </c>
      <c r="P95" s="173">
        <v>3.3333333333333333E-2</v>
      </c>
      <c r="Q95" s="173">
        <v>1</v>
      </c>
      <c r="R95" s="173">
        <v>3.3333333333333333E-2</v>
      </c>
      <c r="S95" s="169" t="s">
        <v>1219</v>
      </c>
      <c r="T95" s="169">
        <v>2010</v>
      </c>
      <c r="U95" s="173">
        <v>14</v>
      </c>
      <c r="V95" s="173">
        <v>9.75</v>
      </c>
      <c r="W95" s="174">
        <v>40299</v>
      </c>
    </row>
    <row r="96" spans="1:23" x14ac:dyDescent="0.2">
      <c r="A96" s="171">
        <v>14203</v>
      </c>
      <c r="B96" s="172" t="s">
        <v>1229</v>
      </c>
      <c r="C96" s="172" t="s">
        <v>1216</v>
      </c>
      <c r="D96" s="172" t="s">
        <v>1225</v>
      </c>
      <c r="E96" s="173">
        <v>34.5</v>
      </c>
      <c r="F96" s="173">
        <v>4</v>
      </c>
      <c r="G96" s="173">
        <v>1</v>
      </c>
      <c r="H96" s="173">
        <v>1</v>
      </c>
      <c r="I96" s="173">
        <v>1</v>
      </c>
      <c r="J96" s="173">
        <v>24</v>
      </c>
      <c r="K96" s="173">
        <v>0</v>
      </c>
      <c r="L96" s="173">
        <v>0</v>
      </c>
      <c r="M96" s="173">
        <v>0</v>
      </c>
      <c r="N96" s="173">
        <v>0</v>
      </c>
      <c r="O96" s="173">
        <v>0</v>
      </c>
      <c r="P96" s="173">
        <v>0</v>
      </c>
      <c r="Q96" s="173">
        <v>0</v>
      </c>
      <c r="R96" s="173">
        <v>0</v>
      </c>
      <c r="S96" s="169" t="s">
        <v>1219</v>
      </c>
      <c r="T96" s="169">
        <v>2010</v>
      </c>
      <c r="U96" s="173">
        <v>14</v>
      </c>
      <c r="V96" s="173">
        <v>9.75</v>
      </c>
      <c r="W96" s="174">
        <v>40330</v>
      </c>
    </row>
    <row r="97" spans="1:23" x14ac:dyDescent="0.2">
      <c r="A97" s="171">
        <v>14203</v>
      </c>
      <c r="B97" s="172" t="s">
        <v>1229</v>
      </c>
      <c r="C97" s="172" t="s">
        <v>1216</v>
      </c>
      <c r="D97" s="172" t="s">
        <v>1225</v>
      </c>
      <c r="E97" s="173">
        <v>34.5</v>
      </c>
      <c r="F97" s="173">
        <v>4</v>
      </c>
      <c r="G97" s="173">
        <v>0</v>
      </c>
      <c r="H97" s="173">
        <v>0</v>
      </c>
      <c r="I97" s="173">
        <v>1</v>
      </c>
      <c r="J97" s="173">
        <v>2</v>
      </c>
      <c r="K97" s="173">
        <v>0</v>
      </c>
      <c r="L97" s="173">
        <v>0</v>
      </c>
      <c r="M97" s="173">
        <v>0</v>
      </c>
      <c r="N97" s="173">
        <v>0</v>
      </c>
      <c r="O97" s="173">
        <v>0</v>
      </c>
      <c r="P97" s="173">
        <v>0</v>
      </c>
      <c r="Q97" s="173">
        <v>0</v>
      </c>
      <c r="R97" s="173">
        <v>0</v>
      </c>
      <c r="S97" s="169" t="s">
        <v>1220</v>
      </c>
      <c r="T97" s="169">
        <v>2010</v>
      </c>
      <c r="U97" s="173">
        <v>14</v>
      </c>
      <c r="V97" s="173">
        <v>9.75</v>
      </c>
      <c r="W97" s="174">
        <v>40360</v>
      </c>
    </row>
    <row r="98" spans="1:23" x14ac:dyDescent="0.2">
      <c r="A98" s="171">
        <v>14203</v>
      </c>
      <c r="B98" s="172" t="s">
        <v>1229</v>
      </c>
      <c r="C98" s="172" t="s">
        <v>1216</v>
      </c>
      <c r="D98" s="172" t="s">
        <v>1225</v>
      </c>
      <c r="E98" s="173">
        <v>34.5</v>
      </c>
      <c r="F98" s="173">
        <v>4</v>
      </c>
      <c r="G98" s="173">
        <v>0</v>
      </c>
      <c r="H98" s="173">
        <v>0</v>
      </c>
      <c r="I98" s="173">
        <v>0</v>
      </c>
      <c r="J98" s="173">
        <v>0</v>
      </c>
      <c r="K98" s="173">
        <v>0</v>
      </c>
      <c r="L98" s="173">
        <v>0</v>
      </c>
      <c r="M98" s="173">
        <v>0</v>
      </c>
      <c r="N98" s="173">
        <v>0</v>
      </c>
      <c r="O98" s="173">
        <v>3</v>
      </c>
      <c r="P98" s="173">
        <v>0.16666666666666666</v>
      </c>
      <c r="Q98" s="173">
        <v>3</v>
      </c>
      <c r="R98" s="173">
        <v>0.16666666666666666</v>
      </c>
      <c r="S98" s="169" t="s">
        <v>1220</v>
      </c>
      <c r="T98" s="169">
        <v>2010</v>
      </c>
      <c r="U98" s="173">
        <v>14</v>
      </c>
      <c r="V98" s="173">
        <v>9.75</v>
      </c>
      <c r="W98" s="174">
        <v>40391</v>
      </c>
    </row>
    <row r="99" spans="1:23" x14ac:dyDescent="0.2">
      <c r="A99" s="171">
        <v>14203</v>
      </c>
      <c r="B99" s="172" t="s">
        <v>1229</v>
      </c>
      <c r="C99" s="172" t="s">
        <v>1216</v>
      </c>
      <c r="D99" s="172" t="s">
        <v>1225</v>
      </c>
      <c r="E99" s="173">
        <v>34.5</v>
      </c>
      <c r="F99" s="173">
        <v>4</v>
      </c>
      <c r="G99" s="173">
        <v>0</v>
      </c>
      <c r="H99" s="173">
        <v>0</v>
      </c>
      <c r="I99" s="173">
        <v>0</v>
      </c>
      <c r="J99" s="173">
        <v>0</v>
      </c>
      <c r="K99" s="173">
        <v>0</v>
      </c>
      <c r="L99" s="173">
        <v>0</v>
      </c>
      <c r="M99" s="173">
        <v>0</v>
      </c>
      <c r="N99" s="173">
        <v>0</v>
      </c>
      <c r="O99" s="173">
        <v>1</v>
      </c>
      <c r="P99" s="173">
        <v>3.3333333333333333E-2</v>
      </c>
      <c r="Q99" s="173">
        <v>1</v>
      </c>
      <c r="R99" s="173">
        <v>3.3333333333333333E-2</v>
      </c>
      <c r="S99" s="169" t="s">
        <v>1220</v>
      </c>
      <c r="T99" s="169">
        <v>2010</v>
      </c>
      <c r="U99" s="173">
        <v>14</v>
      </c>
      <c r="V99" s="173">
        <v>9.75</v>
      </c>
      <c r="W99" s="174">
        <v>40422</v>
      </c>
    </row>
    <row r="100" spans="1:23" x14ac:dyDescent="0.2">
      <c r="A100" s="171">
        <v>14203</v>
      </c>
      <c r="B100" s="172" t="s">
        <v>1229</v>
      </c>
      <c r="C100" s="172" t="s">
        <v>1216</v>
      </c>
      <c r="D100" s="172" t="s">
        <v>1225</v>
      </c>
      <c r="E100" s="173">
        <v>34.5</v>
      </c>
      <c r="F100" s="173">
        <v>4</v>
      </c>
      <c r="G100" s="173">
        <v>0</v>
      </c>
      <c r="H100" s="173">
        <v>0</v>
      </c>
      <c r="I100" s="173">
        <v>0</v>
      </c>
      <c r="J100" s="173">
        <v>0</v>
      </c>
      <c r="K100" s="173">
        <v>0</v>
      </c>
      <c r="L100" s="173">
        <v>0</v>
      </c>
      <c r="M100" s="173">
        <v>0</v>
      </c>
      <c r="N100" s="173">
        <v>0</v>
      </c>
      <c r="O100" s="173">
        <v>0</v>
      </c>
      <c r="P100" s="173">
        <v>0</v>
      </c>
      <c r="Q100" s="173">
        <v>0</v>
      </c>
      <c r="R100" s="173">
        <v>0</v>
      </c>
      <c r="S100" s="169" t="s">
        <v>1221</v>
      </c>
      <c r="T100" s="169">
        <v>2010</v>
      </c>
      <c r="U100" s="173">
        <v>16</v>
      </c>
      <c r="V100" s="173">
        <v>9.75</v>
      </c>
      <c r="W100" s="174">
        <v>40452</v>
      </c>
    </row>
    <row r="101" spans="1:23" x14ac:dyDescent="0.2">
      <c r="A101" s="171">
        <v>14203</v>
      </c>
      <c r="B101" s="172" t="s">
        <v>1229</v>
      </c>
      <c r="C101" s="172" t="s">
        <v>1216</v>
      </c>
      <c r="D101" s="172" t="s">
        <v>1225</v>
      </c>
      <c r="E101" s="173">
        <v>34.5</v>
      </c>
      <c r="F101" s="173">
        <v>4</v>
      </c>
      <c r="G101" s="173">
        <v>0</v>
      </c>
      <c r="H101" s="173">
        <v>0</v>
      </c>
      <c r="I101" s="173">
        <v>0</v>
      </c>
      <c r="J101" s="173">
        <v>0</v>
      </c>
      <c r="K101" s="173">
        <v>0</v>
      </c>
      <c r="L101" s="173">
        <v>0</v>
      </c>
      <c r="M101" s="173">
        <v>0</v>
      </c>
      <c r="N101" s="173">
        <v>0</v>
      </c>
      <c r="O101" s="173">
        <v>1</v>
      </c>
      <c r="P101" s="173">
        <v>0.38333333333333336</v>
      </c>
      <c r="Q101" s="173">
        <v>1</v>
      </c>
      <c r="R101" s="173">
        <v>0.38333333333333336</v>
      </c>
      <c r="S101" s="169" t="s">
        <v>1221</v>
      </c>
      <c r="T101" s="169">
        <v>2010</v>
      </c>
      <c r="U101" s="173">
        <v>16</v>
      </c>
      <c r="V101" s="173">
        <v>9.75</v>
      </c>
      <c r="W101" s="174">
        <v>40483</v>
      </c>
    </row>
    <row r="102" spans="1:23" x14ac:dyDescent="0.2">
      <c r="A102" s="171">
        <v>14203</v>
      </c>
      <c r="B102" s="172" t="s">
        <v>1229</v>
      </c>
      <c r="C102" s="172" t="s">
        <v>1216</v>
      </c>
      <c r="D102" s="172" t="s">
        <v>1225</v>
      </c>
      <c r="E102" s="173">
        <v>34.5</v>
      </c>
      <c r="F102" s="173">
        <v>4</v>
      </c>
      <c r="G102" s="173">
        <v>0</v>
      </c>
      <c r="H102" s="173">
        <v>0</v>
      </c>
      <c r="I102" s="173">
        <v>0</v>
      </c>
      <c r="J102" s="173">
        <v>0</v>
      </c>
      <c r="K102" s="173">
        <v>0</v>
      </c>
      <c r="L102" s="173">
        <v>0</v>
      </c>
      <c r="M102" s="173">
        <v>0</v>
      </c>
      <c r="N102" s="173">
        <v>0</v>
      </c>
      <c r="O102" s="173">
        <v>0</v>
      </c>
      <c r="P102" s="173">
        <v>0</v>
      </c>
      <c r="Q102" s="173">
        <v>0</v>
      </c>
      <c r="R102" s="173">
        <v>0</v>
      </c>
      <c r="S102" s="169" t="s">
        <v>1221</v>
      </c>
      <c r="T102" s="169">
        <v>2010</v>
      </c>
      <c r="U102" s="173">
        <v>16</v>
      </c>
      <c r="V102" s="173">
        <v>9.75</v>
      </c>
      <c r="W102" s="174">
        <v>40513</v>
      </c>
    </row>
    <row r="103" spans="1:23" x14ac:dyDescent="0.2">
      <c r="A103" s="171">
        <v>14203</v>
      </c>
      <c r="B103" s="172" t="s">
        <v>1229</v>
      </c>
      <c r="C103" s="172" t="s">
        <v>1216</v>
      </c>
      <c r="D103" s="172" t="s">
        <v>1225</v>
      </c>
      <c r="E103" s="173">
        <v>34.5</v>
      </c>
      <c r="F103" s="173">
        <v>4</v>
      </c>
      <c r="G103" s="173">
        <v>1</v>
      </c>
      <c r="H103" s="173">
        <v>1</v>
      </c>
      <c r="I103" s="173">
        <v>0</v>
      </c>
      <c r="J103" s="173">
        <v>0</v>
      </c>
      <c r="K103" s="173">
        <v>0</v>
      </c>
      <c r="L103" s="173">
        <v>0</v>
      </c>
      <c r="M103" s="173">
        <v>0</v>
      </c>
      <c r="N103" s="173">
        <v>0</v>
      </c>
      <c r="O103" s="173">
        <v>1</v>
      </c>
      <c r="P103" s="173">
        <v>0.05</v>
      </c>
      <c r="Q103" s="173">
        <v>1</v>
      </c>
      <c r="R103" s="173">
        <v>0.05</v>
      </c>
      <c r="S103" s="169" t="s">
        <v>1218</v>
      </c>
      <c r="T103" s="169">
        <v>2011</v>
      </c>
      <c r="U103" s="173">
        <v>16</v>
      </c>
      <c r="V103" s="173">
        <v>10</v>
      </c>
      <c r="W103" s="174">
        <v>40544</v>
      </c>
    </row>
    <row r="104" spans="1:23" x14ac:dyDescent="0.2">
      <c r="A104" s="171">
        <v>14203</v>
      </c>
      <c r="B104" s="172" t="s">
        <v>1229</v>
      </c>
      <c r="C104" s="172" t="s">
        <v>1216</v>
      </c>
      <c r="D104" s="172" t="s">
        <v>1225</v>
      </c>
      <c r="E104" s="173">
        <v>34.5</v>
      </c>
      <c r="F104" s="173">
        <v>4</v>
      </c>
      <c r="G104" s="173">
        <v>1</v>
      </c>
      <c r="H104" s="173">
        <v>1</v>
      </c>
      <c r="I104" s="173">
        <v>1</v>
      </c>
      <c r="J104" s="173">
        <v>68</v>
      </c>
      <c r="K104" s="173">
        <v>0</v>
      </c>
      <c r="L104" s="173">
        <v>0</v>
      </c>
      <c r="M104" s="173">
        <v>0</v>
      </c>
      <c r="N104" s="173">
        <v>0</v>
      </c>
      <c r="O104" s="173">
        <v>1</v>
      </c>
      <c r="P104" s="173">
        <v>6.6666666666666666E-2</v>
      </c>
      <c r="Q104" s="173">
        <v>1</v>
      </c>
      <c r="R104" s="173">
        <v>6.6666666666666666E-2</v>
      </c>
      <c r="S104" s="169" t="s">
        <v>1218</v>
      </c>
      <c r="T104" s="169">
        <v>2011</v>
      </c>
      <c r="U104" s="173">
        <v>16</v>
      </c>
      <c r="V104" s="173">
        <v>10</v>
      </c>
      <c r="W104" s="174">
        <v>40575</v>
      </c>
    </row>
    <row r="105" spans="1:23" x14ac:dyDescent="0.2">
      <c r="A105" s="171">
        <v>14203</v>
      </c>
      <c r="B105" s="172" t="s">
        <v>1229</v>
      </c>
      <c r="C105" s="172" t="s">
        <v>1216</v>
      </c>
      <c r="D105" s="172" t="s">
        <v>1225</v>
      </c>
      <c r="E105" s="173">
        <v>34.5</v>
      </c>
      <c r="F105" s="173">
        <v>4</v>
      </c>
      <c r="G105" s="173">
        <v>0</v>
      </c>
      <c r="H105" s="173">
        <v>0</v>
      </c>
      <c r="I105" s="173">
        <v>0</v>
      </c>
      <c r="J105" s="173">
        <v>0</v>
      </c>
      <c r="K105" s="173">
        <v>0</v>
      </c>
      <c r="L105" s="173">
        <v>0</v>
      </c>
      <c r="M105" s="173">
        <v>0</v>
      </c>
      <c r="N105" s="173">
        <v>0</v>
      </c>
      <c r="O105" s="173">
        <v>0</v>
      </c>
      <c r="P105" s="173">
        <v>0</v>
      </c>
      <c r="Q105" s="173">
        <v>0</v>
      </c>
      <c r="R105" s="173">
        <v>0</v>
      </c>
      <c r="S105" s="169" t="s">
        <v>1218</v>
      </c>
      <c r="T105" s="169">
        <v>2011</v>
      </c>
      <c r="U105" s="173">
        <v>16</v>
      </c>
      <c r="V105" s="173">
        <v>10</v>
      </c>
      <c r="W105" s="174">
        <v>40603</v>
      </c>
    </row>
    <row r="106" spans="1:23" x14ac:dyDescent="0.2">
      <c r="A106" s="171">
        <v>14203</v>
      </c>
      <c r="B106" s="172" t="s">
        <v>1229</v>
      </c>
      <c r="C106" s="172" t="s">
        <v>1216</v>
      </c>
      <c r="D106" s="172" t="s">
        <v>1225</v>
      </c>
      <c r="E106" s="173">
        <v>34.5</v>
      </c>
      <c r="F106" s="173">
        <v>4</v>
      </c>
      <c r="G106" s="173">
        <v>0</v>
      </c>
      <c r="H106" s="173">
        <v>0</v>
      </c>
      <c r="I106" s="173">
        <v>0</v>
      </c>
      <c r="J106" s="173">
        <v>0</v>
      </c>
      <c r="K106" s="173">
        <v>0</v>
      </c>
      <c r="L106" s="173">
        <v>0</v>
      </c>
      <c r="M106" s="173">
        <v>0</v>
      </c>
      <c r="N106" s="173">
        <v>0</v>
      </c>
      <c r="O106" s="173">
        <v>2</v>
      </c>
      <c r="P106" s="173">
        <v>0.13333333333333333</v>
      </c>
      <c r="Q106" s="173">
        <v>2</v>
      </c>
      <c r="R106" s="173">
        <v>0.13333333333333333</v>
      </c>
      <c r="S106" s="169" t="s">
        <v>1219</v>
      </c>
      <c r="T106" s="169">
        <v>2011</v>
      </c>
      <c r="U106" s="173">
        <v>16</v>
      </c>
      <c r="V106" s="173">
        <v>9.5</v>
      </c>
      <c r="W106" s="174">
        <v>40634</v>
      </c>
    </row>
    <row r="107" spans="1:23" x14ac:dyDescent="0.2">
      <c r="A107" s="171">
        <v>14203</v>
      </c>
      <c r="B107" s="172" t="s">
        <v>1229</v>
      </c>
      <c r="C107" s="172" t="s">
        <v>1216</v>
      </c>
      <c r="D107" s="172" t="s">
        <v>1225</v>
      </c>
      <c r="E107" s="173">
        <v>34.5</v>
      </c>
      <c r="F107" s="173">
        <v>4</v>
      </c>
      <c r="G107" s="173">
        <v>0</v>
      </c>
      <c r="H107" s="173">
        <v>0</v>
      </c>
      <c r="I107" s="173">
        <v>0</v>
      </c>
      <c r="J107" s="173">
        <v>0</v>
      </c>
      <c r="K107" s="173">
        <v>0</v>
      </c>
      <c r="L107" s="173">
        <v>0</v>
      </c>
      <c r="M107" s="173">
        <v>0</v>
      </c>
      <c r="N107" s="173">
        <v>0</v>
      </c>
      <c r="O107" s="173">
        <v>2</v>
      </c>
      <c r="P107" s="173">
        <v>1.1166666666666667</v>
      </c>
      <c r="Q107" s="173">
        <v>2</v>
      </c>
      <c r="R107" s="173">
        <v>1.1166666666666667</v>
      </c>
      <c r="S107" s="169" t="s">
        <v>1219</v>
      </c>
      <c r="T107" s="169">
        <v>2011</v>
      </c>
      <c r="U107" s="173">
        <v>16</v>
      </c>
      <c r="V107" s="173">
        <v>9.5</v>
      </c>
      <c r="W107" s="174">
        <v>40664</v>
      </c>
    </row>
    <row r="108" spans="1:23" x14ac:dyDescent="0.2">
      <c r="A108" s="171">
        <v>14203</v>
      </c>
      <c r="B108" s="172" t="s">
        <v>1229</v>
      </c>
      <c r="C108" s="172" t="s">
        <v>1216</v>
      </c>
      <c r="D108" s="172" t="s">
        <v>1225</v>
      </c>
      <c r="E108" s="173">
        <v>34.5</v>
      </c>
      <c r="F108" s="173">
        <v>4</v>
      </c>
      <c r="G108" s="173">
        <v>1</v>
      </c>
      <c r="H108" s="173">
        <v>1</v>
      </c>
      <c r="I108" s="173">
        <v>0</v>
      </c>
      <c r="J108" s="173">
        <v>0</v>
      </c>
      <c r="K108" s="173">
        <v>0</v>
      </c>
      <c r="L108" s="173">
        <v>0</v>
      </c>
      <c r="M108" s="173">
        <v>1</v>
      </c>
      <c r="N108" s="173">
        <v>4.3166666666666664</v>
      </c>
      <c r="O108" s="173">
        <v>1</v>
      </c>
      <c r="P108" s="173">
        <v>3.6833333333333331</v>
      </c>
      <c r="Q108" s="173">
        <v>2</v>
      </c>
      <c r="R108" s="173">
        <v>8</v>
      </c>
      <c r="S108" s="169" t="s">
        <v>1219</v>
      </c>
      <c r="T108" s="169">
        <v>2011</v>
      </c>
      <c r="U108" s="173">
        <v>16</v>
      </c>
      <c r="V108" s="173">
        <v>9.5</v>
      </c>
      <c r="W108" s="174">
        <v>40695</v>
      </c>
    </row>
    <row r="109" spans="1:23" x14ac:dyDescent="0.2">
      <c r="A109" s="171">
        <v>14203</v>
      </c>
      <c r="B109" s="172" t="s">
        <v>1229</v>
      </c>
      <c r="C109" s="172" t="s">
        <v>1216</v>
      </c>
      <c r="D109" s="172" t="s">
        <v>1225</v>
      </c>
      <c r="E109" s="173">
        <v>34.5</v>
      </c>
      <c r="F109" s="173">
        <v>4</v>
      </c>
      <c r="G109" s="173">
        <v>3</v>
      </c>
      <c r="H109" s="173">
        <v>3</v>
      </c>
      <c r="I109" s="173">
        <v>0</v>
      </c>
      <c r="J109" s="173">
        <v>0</v>
      </c>
      <c r="K109" s="173">
        <v>0</v>
      </c>
      <c r="L109" s="173">
        <v>0</v>
      </c>
      <c r="M109" s="173">
        <v>0</v>
      </c>
      <c r="N109" s="173">
        <v>0</v>
      </c>
      <c r="O109" s="173">
        <v>1</v>
      </c>
      <c r="P109" s="173">
        <v>1.3666666666666667</v>
      </c>
      <c r="Q109" s="173">
        <v>1</v>
      </c>
      <c r="R109" s="173">
        <v>1.3666666666666667</v>
      </c>
      <c r="S109" s="169" t="s">
        <v>1220</v>
      </c>
      <c r="T109" s="169">
        <v>2011</v>
      </c>
      <c r="U109" s="173">
        <v>12</v>
      </c>
      <c r="V109" s="173">
        <v>9.5</v>
      </c>
      <c r="W109" s="174">
        <v>40725</v>
      </c>
    </row>
    <row r="110" spans="1:23" x14ac:dyDescent="0.2">
      <c r="A110" s="171">
        <v>14203</v>
      </c>
      <c r="B110" s="172" t="s">
        <v>1229</v>
      </c>
      <c r="C110" s="172" t="s">
        <v>1216</v>
      </c>
      <c r="D110" s="172" t="s">
        <v>1225</v>
      </c>
      <c r="E110" s="173">
        <v>34.5</v>
      </c>
      <c r="F110" s="173">
        <v>4</v>
      </c>
      <c r="G110" s="173">
        <v>0</v>
      </c>
      <c r="H110" s="173">
        <v>0</v>
      </c>
      <c r="I110" s="173">
        <v>0</v>
      </c>
      <c r="J110" s="173">
        <v>0</v>
      </c>
      <c r="K110" s="173">
        <v>0</v>
      </c>
      <c r="L110" s="173">
        <v>0</v>
      </c>
      <c r="M110" s="173">
        <v>0</v>
      </c>
      <c r="N110" s="173">
        <v>0</v>
      </c>
      <c r="O110" s="173">
        <v>0</v>
      </c>
      <c r="P110" s="173">
        <v>0</v>
      </c>
      <c r="Q110" s="173">
        <v>0</v>
      </c>
      <c r="R110" s="173">
        <v>0</v>
      </c>
      <c r="S110" s="169" t="s">
        <v>1220</v>
      </c>
      <c r="T110" s="169">
        <v>2011</v>
      </c>
      <c r="U110" s="173">
        <v>12</v>
      </c>
      <c r="V110" s="173">
        <v>9.5</v>
      </c>
      <c r="W110" s="174">
        <v>40756</v>
      </c>
    </row>
    <row r="111" spans="1:23" x14ac:dyDescent="0.2">
      <c r="A111" s="171">
        <v>41001</v>
      </c>
      <c r="B111" s="172" t="s">
        <v>1230</v>
      </c>
      <c r="C111" s="172" t="s">
        <v>1216</v>
      </c>
      <c r="D111" s="172" t="s">
        <v>1231</v>
      </c>
      <c r="E111" s="173">
        <v>34.5</v>
      </c>
      <c r="F111" s="173">
        <v>4</v>
      </c>
      <c r="G111" s="173">
        <v>0</v>
      </c>
      <c r="H111" s="173">
        <v>0</v>
      </c>
      <c r="I111" s="173">
        <v>2</v>
      </c>
      <c r="J111" s="173">
        <v>62</v>
      </c>
      <c r="K111" s="173">
        <v>0</v>
      </c>
      <c r="L111" s="173">
        <v>0</v>
      </c>
      <c r="M111" s="173">
        <v>0</v>
      </c>
      <c r="N111" s="173">
        <v>0</v>
      </c>
      <c r="O111" s="173">
        <v>1</v>
      </c>
      <c r="P111" s="173">
        <v>1.8333333333333333</v>
      </c>
      <c r="Q111" s="173">
        <v>1</v>
      </c>
      <c r="R111" s="173">
        <v>1.8333333333333333</v>
      </c>
      <c r="S111" s="169" t="s">
        <v>1218</v>
      </c>
      <c r="T111" s="169">
        <v>2010</v>
      </c>
      <c r="U111" s="173">
        <v>14</v>
      </c>
      <c r="V111" s="173">
        <v>9.75</v>
      </c>
      <c r="W111" s="174">
        <v>40179</v>
      </c>
    </row>
    <row r="112" spans="1:23" x14ac:dyDescent="0.2">
      <c r="A112" s="171">
        <v>41001</v>
      </c>
      <c r="B112" s="172" t="s">
        <v>1230</v>
      </c>
      <c r="C112" s="172" t="s">
        <v>1216</v>
      </c>
      <c r="D112" s="172" t="s">
        <v>1231</v>
      </c>
      <c r="E112" s="173">
        <v>34.5</v>
      </c>
      <c r="F112" s="173">
        <v>4</v>
      </c>
      <c r="G112" s="173">
        <v>0</v>
      </c>
      <c r="H112" s="173">
        <v>0</v>
      </c>
      <c r="I112" s="173">
        <v>6</v>
      </c>
      <c r="J112" s="173">
        <v>50</v>
      </c>
      <c r="K112" s="173">
        <v>0</v>
      </c>
      <c r="L112" s="173">
        <v>0</v>
      </c>
      <c r="M112" s="173">
        <v>0</v>
      </c>
      <c r="N112" s="173">
        <v>0</v>
      </c>
      <c r="O112" s="173">
        <v>1</v>
      </c>
      <c r="P112" s="173">
        <v>0.05</v>
      </c>
      <c r="Q112" s="173">
        <v>1</v>
      </c>
      <c r="R112" s="173">
        <v>0.05</v>
      </c>
      <c r="S112" s="169" t="s">
        <v>1218</v>
      </c>
      <c r="T112" s="169">
        <v>2010</v>
      </c>
      <c r="U112" s="173">
        <v>14</v>
      </c>
      <c r="V112" s="173">
        <v>9.75</v>
      </c>
      <c r="W112" s="174">
        <v>40210</v>
      </c>
    </row>
    <row r="113" spans="1:23" x14ac:dyDescent="0.2">
      <c r="A113" s="171">
        <v>41001</v>
      </c>
      <c r="B113" s="172" t="s">
        <v>1230</v>
      </c>
      <c r="C113" s="172" t="s">
        <v>1216</v>
      </c>
      <c r="D113" s="172" t="s">
        <v>1231</v>
      </c>
      <c r="E113" s="173">
        <v>34.5</v>
      </c>
      <c r="F113" s="173">
        <v>4</v>
      </c>
      <c r="G113" s="173">
        <v>0</v>
      </c>
      <c r="H113" s="173">
        <v>0</v>
      </c>
      <c r="I113" s="173">
        <v>2</v>
      </c>
      <c r="J113" s="173">
        <v>16</v>
      </c>
      <c r="K113" s="173">
        <v>0</v>
      </c>
      <c r="L113" s="173">
        <v>0</v>
      </c>
      <c r="M113" s="173">
        <v>0</v>
      </c>
      <c r="N113" s="173">
        <v>0</v>
      </c>
      <c r="O113" s="173">
        <v>3</v>
      </c>
      <c r="P113" s="173">
        <v>0.25</v>
      </c>
      <c r="Q113" s="173">
        <v>3</v>
      </c>
      <c r="R113" s="173">
        <v>0.25</v>
      </c>
      <c r="S113" s="169" t="s">
        <v>1218</v>
      </c>
      <c r="T113" s="169">
        <v>2010</v>
      </c>
      <c r="U113" s="173">
        <v>14</v>
      </c>
      <c r="V113" s="173">
        <v>9.75</v>
      </c>
      <c r="W113" s="174">
        <v>40238</v>
      </c>
    </row>
    <row r="114" spans="1:23" x14ac:dyDescent="0.2">
      <c r="A114" s="171">
        <v>41001</v>
      </c>
      <c r="B114" s="172" t="s">
        <v>1230</v>
      </c>
      <c r="C114" s="172" t="s">
        <v>1216</v>
      </c>
      <c r="D114" s="172" t="s">
        <v>1231</v>
      </c>
      <c r="E114" s="173">
        <v>34.5</v>
      </c>
      <c r="F114" s="173">
        <v>4</v>
      </c>
      <c r="G114" s="173">
        <v>0</v>
      </c>
      <c r="H114" s="173">
        <v>0</v>
      </c>
      <c r="I114" s="173">
        <v>4</v>
      </c>
      <c r="J114" s="173">
        <v>71</v>
      </c>
      <c r="K114" s="173">
        <v>0</v>
      </c>
      <c r="L114" s="173">
        <v>0</v>
      </c>
      <c r="M114" s="173">
        <v>0</v>
      </c>
      <c r="N114" s="173">
        <v>0</v>
      </c>
      <c r="O114" s="173">
        <v>2</v>
      </c>
      <c r="P114" s="173">
        <v>1.0833333333333333</v>
      </c>
      <c r="Q114" s="173">
        <v>2</v>
      </c>
      <c r="R114" s="173">
        <v>1.0833333333333333</v>
      </c>
      <c r="S114" s="169" t="s">
        <v>1219</v>
      </c>
      <c r="T114" s="169">
        <v>2010</v>
      </c>
      <c r="U114" s="173">
        <v>14</v>
      </c>
      <c r="V114" s="173">
        <v>9.75</v>
      </c>
      <c r="W114" s="174">
        <v>40269</v>
      </c>
    </row>
    <row r="115" spans="1:23" x14ac:dyDescent="0.2">
      <c r="A115" s="171">
        <v>41001</v>
      </c>
      <c r="B115" s="172" t="s">
        <v>1230</v>
      </c>
      <c r="C115" s="172" t="s">
        <v>1216</v>
      </c>
      <c r="D115" s="172" t="s">
        <v>1231</v>
      </c>
      <c r="E115" s="173">
        <v>34.5</v>
      </c>
      <c r="F115" s="173">
        <v>4</v>
      </c>
      <c r="G115" s="173">
        <v>0</v>
      </c>
      <c r="H115" s="173">
        <v>0</v>
      </c>
      <c r="I115" s="173">
        <v>7</v>
      </c>
      <c r="J115" s="173">
        <v>1050</v>
      </c>
      <c r="K115" s="173">
        <v>0</v>
      </c>
      <c r="L115" s="173">
        <v>0</v>
      </c>
      <c r="M115" s="173">
        <v>0</v>
      </c>
      <c r="N115" s="173">
        <v>0</v>
      </c>
      <c r="O115" s="173">
        <v>2</v>
      </c>
      <c r="P115" s="173">
        <v>8.3666666666666671</v>
      </c>
      <c r="Q115" s="173">
        <v>2</v>
      </c>
      <c r="R115" s="173">
        <v>8.3666666666666671</v>
      </c>
      <c r="S115" s="169" t="s">
        <v>1219</v>
      </c>
      <c r="T115" s="169">
        <v>2010</v>
      </c>
      <c r="U115" s="173">
        <v>14</v>
      </c>
      <c r="V115" s="173">
        <v>9.75</v>
      </c>
      <c r="W115" s="174">
        <v>40299</v>
      </c>
    </row>
    <row r="116" spans="1:23" x14ac:dyDescent="0.2">
      <c r="A116" s="171">
        <v>41001</v>
      </c>
      <c r="B116" s="172" t="s">
        <v>1230</v>
      </c>
      <c r="C116" s="172" t="s">
        <v>1216</v>
      </c>
      <c r="D116" s="172" t="s">
        <v>1231</v>
      </c>
      <c r="E116" s="173">
        <v>34.5</v>
      </c>
      <c r="F116" s="173">
        <v>4</v>
      </c>
      <c r="G116" s="173">
        <v>0</v>
      </c>
      <c r="H116" s="173">
        <v>0</v>
      </c>
      <c r="I116" s="173">
        <v>2</v>
      </c>
      <c r="J116" s="173">
        <v>82</v>
      </c>
      <c r="K116" s="173">
        <v>0</v>
      </c>
      <c r="L116" s="173">
        <v>0</v>
      </c>
      <c r="M116" s="173">
        <v>0</v>
      </c>
      <c r="N116" s="173">
        <v>0</v>
      </c>
      <c r="O116" s="173">
        <v>1</v>
      </c>
      <c r="P116" s="173">
        <v>3.3333333333333333E-2</v>
      </c>
      <c r="Q116" s="173">
        <v>1</v>
      </c>
      <c r="R116" s="173">
        <v>3.3333333333333333E-2</v>
      </c>
      <c r="S116" s="169" t="s">
        <v>1219</v>
      </c>
      <c r="T116" s="169">
        <v>2010</v>
      </c>
      <c r="U116" s="173">
        <v>14</v>
      </c>
      <c r="V116" s="173">
        <v>9.75</v>
      </c>
      <c r="W116" s="174">
        <v>40330</v>
      </c>
    </row>
    <row r="117" spans="1:23" x14ac:dyDescent="0.2">
      <c r="A117" s="171">
        <v>41001</v>
      </c>
      <c r="B117" s="172" t="s">
        <v>1230</v>
      </c>
      <c r="C117" s="172" t="s">
        <v>1216</v>
      </c>
      <c r="D117" s="172" t="s">
        <v>1231</v>
      </c>
      <c r="E117" s="173">
        <v>34.5</v>
      </c>
      <c r="F117" s="173">
        <v>4</v>
      </c>
      <c r="G117" s="173">
        <v>0</v>
      </c>
      <c r="H117" s="173">
        <v>0</v>
      </c>
      <c r="I117" s="173">
        <v>9</v>
      </c>
      <c r="J117" s="173">
        <v>165</v>
      </c>
      <c r="K117" s="173">
        <v>0</v>
      </c>
      <c r="L117" s="173">
        <v>0</v>
      </c>
      <c r="M117" s="173">
        <v>0</v>
      </c>
      <c r="N117" s="173">
        <v>0</v>
      </c>
      <c r="O117" s="173">
        <v>4</v>
      </c>
      <c r="P117" s="173">
        <v>2.1</v>
      </c>
      <c r="Q117" s="173">
        <v>4</v>
      </c>
      <c r="R117" s="173">
        <v>2.1</v>
      </c>
      <c r="S117" s="169" t="s">
        <v>1220</v>
      </c>
      <c r="T117" s="169">
        <v>2010</v>
      </c>
      <c r="U117" s="173">
        <v>14</v>
      </c>
      <c r="V117" s="173">
        <v>9.75</v>
      </c>
      <c r="W117" s="174">
        <v>40360</v>
      </c>
    </row>
    <row r="118" spans="1:23" x14ac:dyDescent="0.2">
      <c r="A118" s="171">
        <v>41001</v>
      </c>
      <c r="B118" s="172" t="s">
        <v>1230</v>
      </c>
      <c r="C118" s="172" t="s">
        <v>1216</v>
      </c>
      <c r="D118" s="172" t="s">
        <v>1231</v>
      </c>
      <c r="E118" s="173">
        <v>34.5</v>
      </c>
      <c r="F118" s="173">
        <v>4</v>
      </c>
      <c r="G118" s="173">
        <v>0</v>
      </c>
      <c r="H118" s="173">
        <v>0</v>
      </c>
      <c r="I118" s="173">
        <v>3</v>
      </c>
      <c r="J118" s="173">
        <v>16</v>
      </c>
      <c r="K118" s="173">
        <v>0</v>
      </c>
      <c r="L118" s="173">
        <v>0</v>
      </c>
      <c r="M118" s="173">
        <v>1</v>
      </c>
      <c r="N118" s="173">
        <v>0.36666666666666664</v>
      </c>
      <c r="O118" s="173">
        <v>6</v>
      </c>
      <c r="P118" s="173">
        <v>1.7</v>
      </c>
      <c r="Q118" s="173">
        <v>7</v>
      </c>
      <c r="R118" s="173">
        <v>2.0666666666666669</v>
      </c>
      <c r="S118" s="169" t="s">
        <v>1220</v>
      </c>
      <c r="T118" s="169">
        <v>2010</v>
      </c>
      <c r="U118" s="173">
        <v>14</v>
      </c>
      <c r="V118" s="173">
        <v>9.75</v>
      </c>
      <c r="W118" s="174">
        <v>40391</v>
      </c>
    </row>
    <row r="119" spans="1:23" x14ac:dyDescent="0.2">
      <c r="A119" s="171">
        <v>41001</v>
      </c>
      <c r="B119" s="172" t="s">
        <v>1230</v>
      </c>
      <c r="C119" s="172" t="s">
        <v>1216</v>
      </c>
      <c r="D119" s="172" t="s">
        <v>1231</v>
      </c>
      <c r="E119" s="173">
        <v>34.5</v>
      </c>
      <c r="F119" s="173">
        <v>4</v>
      </c>
      <c r="G119" s="173">
        <v>0</v>
      </c>
      <c r="H119" s="173">
        <v>0</v>
      </c>
      <c r="I119" s="173">
        <v>5</v>
      </c>
      <c r="J119" s="173">
        <v>31</v>
      </c>
      <c r="K119" s="173">
        <v>0</v>
      </c>
      <c r="L119" s="173">
        <v>0</v>
      </c>
      <c r="M119" s="173">
        <v>0</v>
      </c>
      <c r="N119" s="173">
        <v>0</v>
      </c>
      <c r="O119" s="173">
        <v>6</v>
      </c>
      <c r="P119" s="173">
        <v>0.38333333333333336</v>
      </c>
      <c r="Q119" s="173">
        <v>6</v>
      </c>
      <c r="R119" s="173">
        <v>0.38333333333333336</v>
      </c>
      <c r="S119" s="169" t="s">
        <v>1220</v>
      </c>
      <c r="T119" s="169">
        <v>2010</v>
      </c>
      <c r="U119" s="173">
        <v>14</v>
      </c>
      <c r="V119" s="173">
        <v>9.75</v>
      </c>
      <c r="W119" s="174">
        <v>40422</v>
      </c>
    </row>
    <row r="120" spans="1:23" x14ac:dyDescent="0.2">
      <c r="A120" s="171">
        <v>41001</v>
      </c>
      <c r="B120" s="172" t="s">
        <v>1230</v>
      </c>
      <c r="C120" s="172" t="s">
        <v>1216</v>
      </c>
      <c r="D120" s="172" t="s">
        <v>1231</v>
      </c>
      <c r="E120" s="173">
        <v>34.5</v>
      </c>
      <c r="F120" s="173">
        <v>4</v>
      </c>
      <c r="G120" s="173">
        <v>0</v>
      </c>
      <c r="H120" s="173">
        <v>0</v>
      </c>
      <c r="I120" s="173">
        <v>0</v>
      </c>
      <c r="J120" s="173">
        <v>0</v>
      </c>
      <c r="K120" s="173">
        <v>0</v>
      </c>
      <c r="L120" s="173">
        <v>0</v>
      </c>
      <c r="M120" s="173">
        <v>0</v>
      </c>
      <c r="N120" s="173">
        <v>0</v>
      </c>
      <c r="O120" s="173">
        <v>0</v>
      </c>
      <c r="P120" s="173">
        <v>0</v>
      </c>
      <c r="Q120" s="173">
        <v>0</v>
      </c>
      <c r="R120" s="173">
        <v>0</v>
      </c>
      <c r="S120" s="169" t="s">
        <v>1221</v>
      </c>
      <c r="T120" s="169">
        <v>2010</v>
      </c>
      <c r="U120" s="173">
        <v>16</v>
      </c>
      <c r="V120" s="173">
        <v>9.75</v>
      </c>
      <c r="W120" s="174">
        <v>40452</v>
      </c>
    </row>
    <row r="121" spans="1:23" x14ac:dyDescent="0.2">
      <c r="A121" s="171">
        <v>41001</v>
      </c>
      <c r="B121" s="172" t="s">
        <v>1230</v>
      </c>
      <c r="C121" s="172" t="s">
        <v>1216</v>
      </c>
      <c r="D121" s="172" t="s">
        <v>1231</v>
      </c>
      <c r="E121" s="173">
        <v>34.5</v>
      </c>
      <c r="F121" s="173">
        <v>4</v>
      </c>
      <c r="G121" s="173">
        <v>0</v>
      </c>
      <c r="H121" s="173">
        <v>0</v>
      </c>
      <c r="I121" s="173">
        <v>0</v>
      </c>
      <c r="J121" s="173">
        <v>0</v>
      </c>
      <c r="K121" s="173">
        <v>0</v>
      </c>
      <c r="L121" s="173">
        <v>0</v>
      </c>
      <c r="M121" s="173">
        <v>0</v>
      </c>
      <c r="N121" s="173">
        <v>0</v>
      </c>
      <c r="O121" s="173">
        <v>0</v>
      </c>
      <c r="P121" s="173">
        <v>0</v>
      </c>
      <c r="Q121" s="173">
        <v>0</v>
      </c>
      <c r="R121" s="173">
        <v>0</v>
      </c>
      <c r="S121" s="169" t="s">
        <v>1221</v>
      </c>
      <c r="T121" s="169">
        <v>2010</v>
      </c>
      <c r="U121" s="173">
        <v>16</v>
      </c>
      <c r="V121" s="173">
        <v>9.75</v>
      </c>
      <c r="W121" s="174">
        <v>40483</v>
      </c>
    </row>
    <row r="122" spans="1:23" x14ac:dyDescent="0.2">
      <c r="A122" s="171">
        <v>41001</v>
      </c>
      <c r="B122" s="172" t="s">
        <v>1230</v>
      </c>
      <c r="C122" s="172" t="s">
        <v>1216</v>
      </c>
      <c r="D122" s="172" t="s">
        <v>1231</v>
      </c>
      <c r="E122" s="173">
        <v>34.5</v>
      </c>
      <c r="F122" s="173">
        <v>4</v>
      </c>
      <c r="G122" s="173">
        <v>0</v>
      </c>
      <c r="H122" s="173">
        <v>0</v>
      </c>
      <c r="I122" s="173">
        <v>0</v>
      </c>
      <c r="J122" s="173">
        <v>0</v>
      </c>
      <c r="K122" s="173">
        <v>0</v>
      </c>
      <c r="L122" s="173">
        <v>0</v>
      </c>
      <c r="M122" s="173">
        <v>0</v>
      </c>
      <c r="N122" s="173">
        <v>0</v>
      </c>
      <c r="O122" s="173">
        <v>0</v>
      </c>
      <c r="P122" s="173">
        <v>0</v>
      </c>
      <c r="Q122" s="173">
        <v>0</v>
      </c>
      <c r="R122" s="173">
        <v>0</v>
      </c>
      <c r="S122" s="169" t="s">
        <v>1221</v>
      </c>
      <c r="T122" s="169">
        <v>2010</v>
      </c>
      <c r="U122" s="173">
        <v>16</v>
      </c>
      <c r="V122" s="173">
        <v>9.75</v>
      </c>
      <c r="W122" s="174">
        <v>40513</v>
      </c>
    </row>
    <row r="123" spans="1:23" x14ac:dyDescent="0.2">
      <c r="A123" s="171">
        <v>41001</v>
      </c>
      <c r="B123" s="172" t="s">
        <v>1230</v>
      </c>
      <c r="C123" s="172" t="s">
        <v>1216</v>
      </c>
      <c r="D123" s="172" t="s">
        <v>1231</v>
      </c>
      <c r="E123" s="173">
        <v>34.5</v>
      </c>
      <c r="F123" s="173">
        <v>4</v>
      </c>
      <c r="G123" s="173">
        <v>0</v>
      </c>
      <c r="H123" s="173">
        <v>0</v>
      </c>
      <c r="I123" s="173">
        <v>0</v>
      </c>
      <c r="J123" s="173">
        <v>0</v>
      </c>
      <c r="K123" s="173">
        <v>0</v>
      </c>
      <c r="L123" s="173">
        <v>0</v>
      </c>
      <c r="M123" s="173">
        <v>0</v>
      </c>
      <c r="N123" s="173">
        <v>0</v>
      </c>
      <c r="O123" s="173">
        <v>0</v>
      </c>
      <c r="P123" s="173">
        <v>0</v>
      </c>
      <c r="Q123" s="173">
        <v>0</v>
      </c>
      <c r="R123" s="173">
        <v>0</v>
      </c>
      <c r="S123" s="169" t="s">
        <v>1218</v>
      </c>
      <c r="T123" s="169">
        <v>2011</v>
      </c>
      <c r="U123" s="173">
        <v>16</v>
      </c>
      <c r="V123" s="173">
        <v>10</v>
      </c>
      <c r="W123" s="174">
        <v>40544</v>
      </c>
    </row>
    <row r="124" spans="1:23" x14ac:dyDescent="0.2">
      <c r="A124" s="171">
        <v>41001</v>
      </c>
      <c r="B124" s="172" t="s">
        <v>1230</v>
      </c>
      <c r="C124" s="172" t="s">
        <v>1216</v>
      </c>
      <c r="D124" s="172" t="s">
        <v>1231</v>
      </c>
      <c r="E124" s="173">
        <v>34.5</v>
      </c>
      <c r="F124" s="173">
        <v>4</v>
      </c>
      <c r="G124" s="173">
        <v>0</v>
      </c>
      <c r="H124" s="173">
        <v>0</v>
      </c>
      <c r="I124" s="173">
        <v>0</v>
      </c>
      <c r="J124" s="173">
        <v>0</v>
      </c>
      <c r="K124" s="173">
        <v>0</v>
      </c>
      <c r="L124" s="173">
        <v>0</v>
      </c>
      <c r="M124" s="173">
        <v>0</v>
      </c>
      <c r="N124" s="173">
        <v>0</v>
      </c>
      <c r="O124" s="173">
        <v>0</v>
      </c>
      <c r="P124" s="173">
        <v>0</v>
      </c>
      <c r="Q124" s="173">
        <v>0</v>
      </c>
      <c r="R124" s="173">
        <v>0</v>
      </c>
      <c r="S124" s="169" t="s">
        <v>1218</v>
      </c>
      <c r="T124" s="169">
        <v>2011</v>
      </c>
      <c r="U124" s="173">
        <v>16</v>
      </c>
      <c r="V124" s="173">
        <v>10</v>
      </c>
      <c r="W124" s="174">
        <v>40575</v>
      </c>
    </row>
    <row r="125" spans="1:23" x14ac:dyDescent="0.2">
      <c r="A125" s="171">
        <v>41001</v>
      </c>
      <c r="B125" s="172" t="s">
        <v>1230</v>
      </c>
      <c r="C125" s="172" t="s">
        <v>1216</v>
      </c>
      <c r="D125" s="172" t="s">
        <v>1231</v>
      </c>
      <c r="E125" s="173">
        <v>34.5</v>
      </c>
      <c r="F125" s="173">
        <v>4</v>
      </c>
      <c r="G125" s="173">
        <v>0</v>
      </c>
      <c r="H125" s="173">
        <v>0</v>
      </c>
      <c r="I125" s="173">
        <v>0</v>
      </c>
      <c r="J125" s="173">
        <v>0</v>
      </c>
      <c r="K125" s="173">
        <v>0</v>
      </c>
      <c r="L125" s="173">
        <v>0</v>
      </c>
      <c r="M125" s="173">
        <v>0</v>
      </c>
      <c r="N125" s="173">
        <v>0</v>
      </c>
      <c r="O125" s="173">
        <v>0</v>
      </c>
      <c r="P125" s="173">
        <v>0</v>
      </c>
      <c r="Q125" s="173">
        <v>0</v>
      </c>
      <c r="R125" s="173">
        <v>0</v>
      </c>
      <c r="S125" s="169" t="s">
        <v>1218</v>
      </c>
      <c r="T125" s="169">
        <v>2011</v>
      </c>
      <c r="U125" s="173">
        <v>16</v>
      </c>
      <c r="V125" s="173">
        <v>10</v>
      </c>
      <c r="W125" s="174">
        <v>40603</v>
      </c>
    </row>
    <row r="126" spans="1:23" x14ac:dyDescent="0.2">
      <c r="A126" s="171">
        <v>41001</v>
      </c>
      <c r="B126" s="172" t="s">
        <v>1230</v>
      </c>
      <c r="C126" s="172" t="s">
        <v>1216</v>
      </c>
      <c r="D126" s="172" t="s">
        <v>1231</v>
      </c>
      <c r="E126" s="173">
        <v>34.5</v>
      </c>
      <c r="F126" s="173">
        <v>4</v>
      </c>
      <c r="G126" s="173">
        <v>0</v>
      </c>
      <c r="H126" s="173">
        <v>0</v>
      </c>
      <c r="I126" s="173">
        <v>0</v>
      </c>
      <c r="J126" s="173">
        <v>0</v>
      </c>
      <c r="K126" s="173">
        <v>0</v>
      </c>
      <c r="L126" s="173">
        <v>0</v>
      </c>
      <c r="M126" s="173">
        <v>0</v>
      </c>
      <c r="N126" s="173">
        <v>0</v>
      </c>
      <c r="O126" s="173">
        <v>0</v>
      </c>
      <c r="P126" s="173">
        <v>0</v>
      </c>
      <c r="Q126" s="173">
        <v>0</v>
      </c>
      <c r="R126" s="173">
        <v>0</v>
      </c>
      <c r="S126" s="169" t="s">
        <v>1219</v>
      </c>
      <c r="T126" s="169">
        <v>2011</v>
      </c>
      <c r="U126" s="173">
        <v>16</v>
      </c>
      <c r="V126" s="173">
        <v>9.5</v>
      </c>
      <c r="W126" s="174">
        <v>40634</v>
      </c>
    </row>
    <row r="127" spans="1:23" x14ac:dyDescent="0.2">
      <c r="A127" s="171">
        <v>41001</v>
      </c>
      <c r="B127" s="172" t="s">
        <v>1230</v>
      </c>
      <c r="C127" s="172" t="s">
        <v>1216</v>
      </c>
      <c r="D127" s="172" t="s">
        <v>1231</v>
      </c>
      <c r="E127" s="173">
        <v>34.5</v>
      </c>
      <c r="F127" s="173">
        <v>4</v>
      </c>
      <c r="G127" s="173">
        <v>0</v>
      </c>
      <c r="H127" s="173">
        <v>0</v>
      </c>
      <c r="I127" s="173">
        <v>0</v>
      </c>
      <c r="J127" s="173">
        <v>0</v>
      </c>
      <c r="K127" s="173">
        <v>0</v>
      </c>
      <c r="L127" s="173">
        <v>0</v>
      </c>
      <c r="M127" s="173">
        <v>0</v>
      </c>
      <c r="N127" s="173">
        <v>0</v>
      </c>
      <c r="O127" s="173">
        <v>0</v>
      </c>
      <c r="P127" s="173">
        <v>0</v>
      </c>
      <c r="Q127" s="173">
        <v>0</v>
      </c>
      <c r="R127" s="173">
        <v>0</v>
      </c>
      <c r="S127" s="169" t="s">
        <v>1219</v>
      </c>
      <c r="T127" s="169">
        <v>2011</v>
      </c>
      <c r="U127" s="173">
        <v>16</v>
      </c>
      <c r="V127" s="173">
        <v>9.5</v>
      </c>
      <c r="W127" s="174">
        <v>40664</v>
      </c>
    </row>
    <row r="128" spans="1:23" x14ac:dyDescent="0.2">
      <c r="A128" s="171">
        <v>41001</v>
      </c>
      <c r="B128" s="172" t="s">
        <v>1230</v>
      </c>
      <c r="C128" s="172" t="s">
        <v>1216</v>
      </c>
      <c r="D128" s="172" t="s">
        <v>1231</v>
      </c>
      <c r="E128" s="173">
        <v>34.5</v>
      </c>
      <c r="F128" s="173">
        <v>4</v>
      </c>
      <c r="G128" s="173">
        <v>0</v>
      </c>
      <c r="H128" s="173">
        <v>0</v>
      </c>
      <c r="I128" s="173">
        <v>0</v>
      </c>
      <c r="J128" s="173">
        <v>0</v>
      </c>
      <c r="K128" s="173">
        <v>0</v>
      </c>
      <c r="L128" s="173">
        <v>0</v>
      </c>
      <c r="M128" s="173">
        <v>0</v>
      </c>
      <c r="N128" s="173">
        <v>0</v>
      </c>
      <c r="O128" s="173">
        <v>0</v>
      </c>
      <c r="P128" s="173">
        <v>0</v>
      </c>
      <c r="Q128" s="173">
        <v>0</v>
      </c>
      <c r="R128" s="173">
        <v>0</v>
      </c>
      <c r="S128" s="169" t="s">
        <v>1219</v>
      </c>
      <c r="T128" s="169">
        <v>2011</v>
      </c>
      <c r="U128" s="173">
        <v>16</v>
      </c>
      <c r="V128" s="173">
        <v>9.5</v>
      </c>
      <c r="W128" s="174">
        <v>40695</v>
      </c>
    </row>
    <row r="129" spans="1:23" x14ac:dyDescent="0.2">
      <c r="A129" s="171">
        <v>41001</v>
      </c>
      <c r="B129" s="172" t="s">
        <v>1230</v>
      </c>
      <c r="C129" s="172" t="s">
        <v>1216</v>
      </c>
      <c r="D129" s="172" t="s">
        <v>1231</v>
      </c>
      <c r="E129" s="173">
        <v>34.5</v>
      </c>
      <c r="F129" s="173">
        <v>4</v>
      </c>
      <c r="G129" s="173">
        <v>0</v>
      </c>
      <c r="H129" s="173">
        <v>0</v>
      </c>
      <c r="I129" s="173">
        <v>0</v>
      </c>
      <c r="J129" s="173">
        <v>0</v>
      </c>
      <c r="K129" s="173">
        <v>0</v>
      </c>
      <c r="L129" s="173">
        <v>0</v>
      </c>
      <c r="M129" s="173">
        <v>0</v>
      </c>
      <c r="N129" s="173">
        <v>0</v>
      </c>
      <c r="O129" s="173">
        <v>0</v>
      </c>
      <c r="P129" s="173">
        <v>0</v>
      </c>
      <c r="Q129" s="173">
        <v>0</v>
      </c>
      <c r="R129" s="173">
        <v>0</v>
      </c>
      <c r="S129" s="169" t="s">
        <v>1220</v>
      </c>
      <c r="T129" s="169">
        <v>2011</v>
      </c>
      <c r="U129" s="173">
        <v>12</v>
      </c>
      <c r="V129" s="173">
        <v>9.5</v>
      </c>
      <c r="W129" s="174">
        <v>40725</v>
      </c>
    </row>
    <row r="130" spans="1:23" x14ac:dyDescent="0.2">
      <c r="A130" s="171">
        <v>41001</v>
      </c>
      <c r="B130" s="172" t="s">
        <v>1230</v>
      </c>
      <c r="C130" s="172" t="s">
        <v>1216</v>
      </c>
      <c r="D130" s="172" t="s">
        <v>1231</v>
      </c>
      <c r="E130" s="173">
        <v>34.5</v>
      </c>
      <c r="F130" s="173">
        <v>4</v>
      </c>
      <c r="G130" s="173">
        <v>0</v>
      </c>
      <c r="H130" s="173">
        <v>0</v>
      </c>
      <c r="I130" s="173">
        <v>0</v>
      </c>
      <c r="J130" s="173">
        <v>0</v>
      </c>
      <c r="K130" s="173">
        <v>0</v>
      </c>
      <c r="L130" s="173">
        <v>0</v>
      </c>
      <c r="M130" s="173">
        <v>0</v>
      </c>
      <c r="N130" s="173">
        <v>0</v>
      </c>
      <c r="O130" s="173">
        <v>0</v>
      </c>
      <c r="P130" s="173">
        <v>0</v>
      </c>
      <c r="Q130" s="173">
        <v>0</v>
      </c>
      <c r="R130" s="173">
        <v>0</v>
      </c>
      <c r="S130" s="169" t="s">
        <v>1220</v>
      </c>
      <c r="T130" s="169">
        <v>2011</v>
      </c>
      <c r="U130" s="173">
        <v>12</v>
      </c>
      <c r="V130" s="173">
        <v>9.5</v>
      </c>
      <c r="W130" s="174">
        <v>40756</v>
      </c>
    </row>
    <row r="131" spans="1:23" x14ac:dyDescent="0.2">
      <c r="A131" s="171">
        <v>13101</v>
      </c>
      <c r="B131" s="172" t="s">
        <v>1232</v>
      </c>
      <c r="C131" s="172" t="s">
        <v>1216</v>
      </c>
      <c r="D131" s="172" t="s">
        <v>1233</v>
      </c>
      <c r="E131" s="173">
        <v>34.5</v>
      </c>
      <c r="F131" s="173">
        <v>3</v>
      </c>
      <c r="G131" s="173">
        <v>1</v>
      </c>
      <c r="H131" s="173">
        <v>1</v>
      </c>
      <c r="I131" s="173">
        <v>1</v>
      </c>
      <c r="J131" s="173">
        <v>648</v>
      </c>
      <c r="K131" s="173">
        <v>0</v>
      </c>
      <c r="L131" s="173">
        <v>0</v>
      </c>
      <c r="M131" s="173">
        <v>1</v>
      </c>
      <c r="N131" s="173">
        <v>0.1</v>
      </c>
      <c r="O131" s="173">
        <v>1</v>
      </c>
      <c r="P131" s="173">
        <v>0.2</v>
      </c>
      <c r="Q131" s="173">
        <v>2</v>
      </c>
      <c r="R131" s="173">
        <v>0.3</v>
      </c>
      <c r="S131" s="169" t="s">
        <v>1218</v>
      </c>
      <c r="T131" s="169">
        <v>2010</v>
      </c>
      <c r="U131" s="173">
        <v>12</v>
      </c>
      <c r="V131" s="173">
        <v>7.25</v>
      </c>
      <c r="W131" s="174">
        <v>40179</v>
      </c>
    </row>
    <row r="132" spans="1:23" x14ac:dyDescent="0.2">
      <c r="A132" s="171">
        <v>13101</v>
      </c>
      <c r="B132" s="172" t="s">
        <v>1232</v>
      </c>
      <c r="C132" s="172" t="s">
        <v>1216</v>
      </c>
      <c r="D132" s="172" t="s">
        <v>1233</v>
      </c>
      <c r="E132" s="173">
        <v>34.5</v>
      </c>
      <c r="F132" s="173">
        <v>3</v>
      </c>
      <c r="G132" s="173">
        <v>0</v>
      </c>
      <c r="H132" s="173">
        <v>0</v>
      </c>
      <c r="I132" s="173">
        <v>6</v>
      </c>
      <c r="J132" s="173">
        <v>732</v>
      </c>
      <c r="K132" s="173">
        <v>0</v>
      </c>
      <c r="L132" s="173">
        <v>0</v>
      </c>
      <c r="M132" s="173">
        <v>0</v>
      </c>
      <c r="N132" s="173">
        <v>0</v>
      </c>
      <c r="O132" s="173">
        <v>2</v>
      </c>
      <c r="P132" s="173">
        <v>0.13333333333333333</v>
      </c>
      <c r="Q132" s="173">
        <v>2</v>
      </c>
      <c r="R132" s="173">
        <v>0.13333333333333333</v>
      </c>
      <c r="S132" s="169" t="s">
        <v>1218</v>
      </c>
      <c r="T132" s="169">
        <v>2010</v>
      </c>
      <c r="U132" s="173">
        <v>12</v>
      </c>
      <c r="V132" s="173">
        <v>7.25</v>
      </c>
      <c r="W132" s="174">
        <v>40210</v>
      </c>
    </row>
    <row r="133" spans="1:23" x14ac:dyDescent="0.2">
      <c r="A133" s="171">
        <v>13101</v>
      </c>
      <c r="B133" s="172" t="s">
        <v>1232</v>
      </c>
      <c r="C133" s="172" t="s">
        <v>1216</v>
      </c>
      <c r="D133" s="172" t="s">
        <v>1233</v>
      </c>
      <c r="E133" s="173">
        <v>34.5</v>
      </c>
      <c r="F133" s="173">
        <v>3</v>
      </c>
      <c r="G133" s="173">
        <v>0</v>
      </c>
      <c r="H133" s="173">
        <v>0</v>
      </c>
      <c r="I133" s="173">
        <v>9</v>
      </c>
      <c r="J133" s="173">
        <v>212</v>
      </c>
      <c r="K133" s="173">
        <v>0</v>
      </c>
      <c r="L133" s="173">
        <v>0</v>
      </c>
      <c r="M133" s="173">
        <v>0</v>
      </c>
      <c r="N133" s="173">
        <v>0</v>
      </c>
      <c r="O133" s="173">
        <v>3</v>
      </c>
      <c r="P133" s="173">
        <v>0.23333333333333334</v>
      </c>
      <c r="Q133" s="173">
        <v>3</v>
      </c>
      <c r="R133" s="173">
        <v>0.23333333333333334</v>
      </c>
      <c r="S133" s="169" t="s">
        <v>1218</v>
      </c>
      <c r="T133" s="169">
        <v>2010</v>
      </c>
      <c r="U133" s="173">
        <v>12</v>
      </c>
      <c r="V133" s="173">
        <v>7.25</v>
      </c>
      <c r="W133" s="174">
        <v>40238</v>
      </c>
    </row>
    <row r="134" spans="1:23" x14ac:dyDescent="0.2">
      <c r="A134" s="171">
        <v>13101</v>
      </c>
      <c r="B134" s="172" t="s">
        <v>1232</v>
      </c>
      <c r="C134" s="172" t="s">
        <v>1216</v>
      </c>
      <c r="D134" s="172" t="s">
        <v>1233</v>
      </c>
      <c r="E134" s="173">
        <v>34.5</v>
      </c>
      <c r="F134" s="173">
        <v>3</v>
      </c>
      <c r="G134" s="173">
        <v>1</v>
      </c>
      <c r="H134" s="173">
        <v>1</v>
      </c>
      <c r="I134" s="173">
        <v>13</v>
      </c>
      <c r="J134" s="173">
        <v>10101</v>
      </c>
      <c r="K134" s="173">
        <v>0</v>
      </c>
      <c r="L134" s="173">
        <v>0</v>
      </c>
      <c r="M134" s="173">
        <v>0</v>
      </c>
      <c r="N134" s="173">
        <v>0</v>
      </c>
      <c r="O134" s="173">
        <v>4</v>
      </c>
      <c r="P134" s="173">
        <v>0.81666666666666665</v>
      </c>
      <c r="Q134" s="173">
        <v>4</v>
      </c>
      <c r="R134" s="173">
        <v>0.81666666666666665</v>
      </c>
      <c r="S134" s="169" t="s">
        <v>1219</v>
      </c>
      <c r="T134" s="169">
        <v>2010</v>
      </c>
      <c r="U134" s="173">
        <v>12</v>
      </c>
      <c r="V134" s="173">
        <v>7.25</v>
      </c>
      <c r="W134" s="174">
        <v>40269</v>
      </c>
    </row>
    <row r="135" spans="1:23" x14ac:dyDescent="0.2">
      <c r="A135" s="171">
        <v>13101</v>
      </c>
      <c r="B135" s="172" t="s">
        <v>1232</v>
      </c>
      <c r="C135" s="172" t="s">
        <v>1216</v>
      </c>
      <c r="D135" s="172" t="s">
        <v>1233</v>
      </c>
      <c r="E135" s="173">
        <v>34.5</v>
      </c>
      <c r="F135" s="173">
        <v>3</v>
      </c>
      <c r="G135" s="173">
        <v>2</v>
      </c>
      <c r="H135" s="173">
        <v>2</v>
      </c>
      <c r="I135" s="173">
        <v>3</v>
      </c>
      <c r="J135" s="173">
        <v>8</v>
      </c>
      <c r="K135" s="173">
        <v>0</v>
      </c>
      <c r="L135" s="173">
        <v>0</v>
      </c>
      <c r="M135" s="173">
        <v>1</v>
      </c>
      <c r="N135" s="173">
        <v>1.1166666666666667</v>
      </c>
      <c r="O135" s="173">
        <v>3</v>
      </c>
      <c r="P135" s="173">
        <v>0.16666666666666666</v>
      </c>
      <c r="Q135" s="173">
        <v>4</v>
      </c>
      <c r="R135" s="173">
        <v>1.2833333333333334</v>
      </c>
      <c r="S135" s="169" t="s">
        <v>1219</v>
      </c>
      <c r="T135" s="169">
        <v>2010</v>
      </c>
      <c r="U135" s="173">
        <v>12</v>
      </c>
      <c r="V135" s="173">
        <v>7.25</v>
      </c>
      <c r="W135" s="174">
        <v>40299</v>
      </c>
    </row>
    <row r="136" spans="1:23" x14ac:dyDescent="0.2">
      <c r="A136" s="171">
        <v>13101</v>
      </c>
      <c r="B136" s="172" t="s">
        <v>1232</v>
      </c>
      <c r="C136" s="172" t="s">
        <v>1216</v>
      </c>
      <c r="D136" s="172" t="s">
        <v>1233</v>
      </c>
      <c r="E136" s="173">
        <v>34.5</v>
      </c>
      <c r="F136" s="173">
        <v>3</v>
      </c>
      <c r="G136" s="173">
        <v>0</v>
      </c>
      <c r="H136" s="173">
        <v>0</v>
      </c>
      <c r="I136" s="173">
        <v>1</v>
      </c>
      <c r="J136" s="173">
        <v>2</v>
      </c>
      <c r="K136" s="173">
        <v>0</v>
      </c>
      <c r="L136" s="173">
        <v>0</v>
      </c>
      <c r="M136" s="173">
        <v>0</v>
      </c>
      <c r="N136" s="173">
        <v>0</v>
      </c>
      <c r="O136" s="173">
        <v>2</v>
      </c>
      <c r="P136" s="173">
        <v>6.6666666666666666E-2</v>
      </c>
      <c r="Q136" s="173">
        <v>2</v>
      </c>
      <c r="R136" s="173">
        <v>6.6666666666666666E-2</v>
      </c>
      <c r="S136" s="169" t="s">
        <v>1219</v>
      </c>
      <c r="T136" s="169">
        <v>2010</v>
      </c>
      <c r="U136" s="173">
        <v>12</v>
      </c>
      <c r="V136" s="173">
        <v>7.25</v>
      </c>
      <c r="W136" s="174">
        <v>40330</v>
      </c>
    </row>
    <row r="137" spans="1:23" x14ac:dyDescent="0.2">
      <c r="A137" s="171">
        <v>13101</v>
      </c>
      <c r="B137" s="172" t="s">
        <v>1232</v>
      </c>
      <c r="C137" s="172" t="s">
        <v>1216</v>
      </c>
      <c r="D137" s="172" t="s">
        <v>1233</v>
      </c>
      <c r="E137" s="173">
        <v>34.5</v>
      </c>
      <c r="F137" s="173">
        <v>3</v>
      </c>
      <c r="G137" s="173">
        <v>0</v>
      </c>
      <c r="H137" s="173">
        <v>0</v>
      </c>
      <c r="I137" s="173">
        <v>4</v>
      </c>
      <c r="J137" s="173">
        <v>11</v>
      </c>
      <c r="K137" s="173">
        <v>0</v>
      </c>
      <c r="L137" s="173">
        <v>0</v>
      </c>
      <c r="M137" s="173">
        <v>0</v>
      </c>
      <c r="N137" s="173">
        <v>0</v>
      </c>
      <c r="O137" s="173">
        <v>4</v>
      </c>
      <c r="P137" s="173">
        <v>0.35</v>
      </c>
      <c r="Q137" s="173">
        <v>4</v>
      </c>
      <c r="R137" s="173">
        <v>0.35</v>
      </c>
      <c r="S137" s="169" t="s">
        <v>1220</v>
      </c>
      <c r="T137" s="169">
        <v>2010</v>
      </c>
      <c r="U137" s="173">
        <v>12</v>
      </c>
      <c r="V137" s="173">
        <v>7.25</v>
      </c>
      <c r="W137" s="174">
        <v>40360</v>
      </c>
    </row>
    <row r="138" spans="1:23" x14ac:dyDescent="0.2">
      <c r="A138" s="171">
        <v>13101</v>
      </c>
      <c r="B138" s="172" t="s">
        <v>1232</v>
      </c>
      <c r="C138" s="172" t="s">
        <v>1216</v>
      </c>
      <c r="D138" s="172" t="s">
        <v>1233</v>
      </c>
      <c r="E138" s="173">
        <v>34.5</v>
      </c>
      <c r="F138" s="173">
        <v>3</v>
      </c>
      <c r="G138" s="173">
        <v>0</v>
      </c>
      <c r="H138" s="173">
        <v>0</v>
      </c>
      <c r="I138" s="173">
        <v>3</v>
      </c>
      <c r="J138" s="173">
        <v>12</v>
      </c>
      <c r="K138" s="173">
        <v>0</v>
      </c>
      <c r="L138" s="173">
        <v>0</v>
      </c>
      <c r="M138" s="173">
        <v>0</v>
      </c>
      <c r="N138" s="173">
        <v>0</v>
      </c>
      <c r="O138" s="173">
        <v>1</v>
      </c>
      <c r="P138" s="173">
        <v>0.31666666666666665</v>
      </c>
      <c r="Q138" s="173">
        <v>1</v>
      </c>
      <c r="R138" s="173">
        <v>0.31666666666666665</v>
      </c>
      <c r="S138" s="169" t="s">
        <v>1220</v>
      </c>
      <c r="T138" s="169">
        <v>2010</v>
      </c>
      <c r="U138" s="173">
        <v>12</v>
      </c>
      <c r="V138" s="173">
        <v>7.25</v>
      </c>
      <c r="W138" s="174">
        <v>40391</v>
      </c>
    </row>
    <row r="139" spans="1:23" x14ac:dyDescent="0.2">
      <c r="A139" s="171">
        <v>13101</v>
      </c>
      <c r="B139" s="172" t="s">
        <v>1232</v>
      </c>
      <c r="C139" s="172" t="s">
        <v>1216</v>
      </c>
      <c r="D139" s="172" t="s">
        <v>1233</v>
      </c>
      <c r="E139" s="173">
        <v>34.5</v>
      </c>
      <c r="F139" s="173">
        <v>3</v>
      </c>
      <c r="G139" s="173">
        <v>1</v>
      </c>
      <c r="H139" s="173">
        <v>1</v>
      </c>
      <c r="I139" s="173">
        <v>3</v>
      </c>
      <c r="J139" s="173">
        <v>28</v>
      </c>
      <c r="K139" s="173">
        <v>0</v>
      </c>
      <c r="L139" s="173">
        <v>0</v>
      </c>
      <c r="M139" s="173">
        <v>0</v>
      </c>
      <c r="N139" s="173">
        <v>0</v>
      </c>
      <c r="O139" s="173">
        <v>3</v>
      </c>
      <c r="P139" s="173">
        <v>1.1166666666666667</v>
      </c>
      <c r="Q139" s="173">
        <v>3</v>
      </c>
      <c r="R139" s="173">
        <v>1.1166666666666667</v>
      </c>
      <c r="S139" s="169" t="s">
        <v>1220</v>
      </c>
      <c r="T139" s="169">
        <v>2010</v>
      </c>
      <c r="U139" s="173">
        <v>12</v>
      </c>
      <c r="V139" s="173">
        <v>7.25</v>
      </c>
      <c r="W139" s="174">
        <v>40422</v>
      </c>
    </row>
    <row r="140" spans="1:23" x14ac:dyDescent="0.2">
      <c r="A140" s="171">
        <v>13101</v>
      </c>
      <c r="B140" s="172" t="s">
        <v>1232</v>
      </c>
      <c r="C140" s="172" t="s">
        <v>1216</v>
      </c>
      <c r="D140" s="172" t="s">
        <v>1233</v>
      </c>
      <c r="E140" s="173">
        <v>34.5</v>
      </c>
      <c r="F140" s="173">
        <v>3</v>
      </c>
      <c r="G140" s="173">
        <v>0</v>
      </c>
      <c r="H140" s="173">
        <v>0</v>
      </c>
      <c r="I140" s="173">
        <v>0</v>
      </c>
      <c r="J140" s="173">
        <v>0</v>
      </c>
      <c r="K140" s="173">
        <v>0</v>
      </c>
      <c r="L140" s="173">
        <v>0</v>
      </c>
      <c r="M140" s="173">
        <v>0</v>
      </c>
      <c r="N140" s="173">
        <v>0</v>
      </c>
      <c r="O140" s="173">
        <v>0</v>
      </c>
      <c r="P140" s="173">
        <v>0</v>
      </c>
      <c r="Q140" s="173">
        <v>0</v>
      </c>
      <c r="R140" s="173">
        <v>0</v>
      </c>
      <c r="S140" s="169" t="s">
        <v>1221</v>
      </c>
      <c r="T140" s="169">
        <v>2010</v>
      </c>
      <c r="U140" s="173">
        <v>15</v>
      </c>
      <c r="V140" s="173">
        <v>7.25</v>
      </c>
      <c r="W140" s="174">
        <v>40452</v>
      </c>
    </row>
    <row r="141" spans="1:23" x14ac:dyDescent="0.2">
      <c r="A141" s="171">
        <v>13101</v>
      </c>
      <c r="B141" s="172" t="s">
        <v>1232</v>
      </c>
      <c r="C141" s="172" t="s">
        <v>1216</v>
      </c>
      <c r="D141" s="172" t="s">
        <v>1233</v>
      </c>
      <c r="E141" s="173">
        <v>34.5</v>
      </c>
      <c r="F141" s="173">
        <v>3</v>
      </c>
      <c r="G141" s="173">
        <v>1</v>
      </c>
      <c r="H141" s="173">
        <v>1</v>
      </c>
      <c r="I141" s="173">
        <v>0</v>
      </c>
      <c r="J141" s="173">
        <v>0</v>
      </c>
      <c r="K141" s="173">
        <v>0</v>
      </c>
      <c r="L141" s="173">
        <v>0</v>
      </c>
      <c r="M141" s="173">
        <v>0</v>
      </c>
      <c r="N141" s="173">
        <v>0</v>
      </c>
      <c r="O141" s="173">
        <v>5</v>
      </c>
      <c r="P141" s="173">
        <v>0.73333333333333328</v>
      </c>
      <c r="Q141" s="173">
        <v>5</v>
      </c>
      <c r="R141" s="173">
        <v>0.73333333333333328</v>
      </c>
      <c r="S141" s="169" t="s">
        <v>1221</v>
      </c>
      <c r="T141" s="169">
        <v>2010</v>
      </c>
      <c r="U141" s="173">
        <v>15</v>
      </c>
      <c r="V141" s="173">
        <v>7.25</v>
      </c>
      <c r="W141" s="174">
        <v>40483</v>
      </c>
    </row>
    <row r="142" spans="1:23" x14ac:dyDescent="0.2">
      <c r="A142" s="171">
        <v>13101</v>
      </c>
      <c r="B142" s="172" t="s">
        <v>1232</v>
      </c>
      <c r="C142" s="172" t="s">
        <v>1216</v>
      </c>
      <c r="D142" s="172" t="s">
        <v>1233</v>
      </c>
      <c r="E142" s="173">
        <v>34.5</v>
      </c>
      <c r="F142" s="173">
        <v>3</v>
      </c>
      <c r="G142" s="173">
        <v>0</v>
      </c>
      <c r="H142" s="173">
        <v>0</v>
      </c>
      <c r="I142" s="173">
        <v>0</v>
      </c>
      <c r="J142" s="173">
        <v>0</v>
      </c>
      <c r="K142" s="173">
        <v>0</v>
      </c>
      <c r="L142" s="173">
        <v>0</v>
      </c>
      <c r="M142" s="173">
        <v>3</v>
      </c>
      <c r="N142" s="173">
        <v>4.916666666666667</v>
      </c>
      <c r="O142" s="173">
        <v>0</v>
      </c>
      <c r="P142" s="173">
        <v>1.9166666666666667</v>
      </c>
      <c r="Q142" s="173">
        <v>3</v>
      </c>
      <c r="R142" s="173">
        <v>6.833333333333333</v>
      </c>
      <c r="S142" s="169" t="s">
        <v>1221</v>
      </c>
      <c r="T142" s="169">
        <v>2010</v>
      </c>
      <c r="U142" s="173">
        <v>15</v>
      </c>
      <c r="V142" s="173">
        <v>7.25</v>
      </c>
      <c r="W142" s="174">
        <v>40513</v>
      </c>
    </row>
    <row r="143" spans="1:23" x14ac:dyDescent="0.2">
      <c r="A143" s="171">
        <v>13101</v>
      </c>
      <c r="B143" s="172" t="s">
        <v>1232</v>
      </c>
      <c r="C143" s="172" t="s">
        <v>1216</v>
      </c>
      <c r="D143" s="172" t="s">
        <v>1233</v>
      </c>
      <c r="E143" s="173">
        <v>34.5</v>
      </c>
      <c r="F143" s="173">
        <v>3</v>
      </c>
      <c r="G143" s="173">
        <v>0</v>
      </c>
      <c r="H143" s="173">
        <v>0</v>
      </c>
      <c r="I143" s="173">
        <v>0</v>
      </c>
      <c r="J143" s="173">
        <v>0</v>
      </c>
      <c r="K143" s="173">
        <v>0</v>
      </c>
      <c r="L143" s="173">
        <v>0</v>
      </c>
      <c r="M143" s="173">
        <v>0</v>
      </c>
      <c r="N143" s="173">
        <v>0</v>
      </c>
      <c r="O143" s="173">
        <v>2</v>
      </c>
      <c r="P143" s="173">
        <v>0.75</v>
      </c>
      <c r="Q143" s="173">
        <v>2</v>
      </c>
      <c r="R143" s="173">
        <v>0.75</v>
      </c>
      <c r="S143" s="169" t="s">
        <v>1218</v>
      </c>
      <c r="T143" s="169">
        <v>2011</v>
      </c>
      <c r="U143" s="173">
        <v>14</v>
      </c>
      <c r="V143" s="173">
        <v>10</v>
      </c>
      <c r="W143" s="174">
        <v>40544</v>
      </c>
    </row>
    <row r="144" spans="1:23" x14ac:dyDescent="0.2">
      <c r="A144" s="171">
        <v>13101</v>
      </c>
      <c r="B144" s="172" t="s">
        <v>1232</v>
      </c>
      <c r="C144" s="172" t="s">
        <v>1216</v>
      </c>
      <c r="D144" s="172" t="s">
        <v>1233</v>
      </c>
      <c r="E144" s="173">
        <v>34.5</v>
      </c>
      <c r="F144" s="173">
        <v>3</v>
      </c>
      <c r="G144" s="173">
        <v>0</v>
      </c>
      <c r="H144" s="173">
        <v>0</v>
      </c>
      <c r="I144" s="173">
        <v>0</v>
      </c>
      <c r="J144" s="173">
        <v>0</v>
      </c>
      <c r="K144" s="173">
        <v>0</v>
      </c>
      <c r="L144" s="173">
        <v>0</v>
      </c>
      <c r="M144" s="173">
        <v>0</v>
      </c>
      <c r="N144" s="173">
        <v>0</v>
      </c>
      <c r="O144" s="173">
        <v>8</v>
      </c>
      <c r="P144" s="173">
        <v>1.6166666666666667</v>
      </c>
      <c r="Q144" s="173">
        <v>8</v>
      </c>
      <c r="R144" s="173">
        <v>1.6166666666666667</v>
      </c>
      <c r="S144" s="169" t="s">
        <v>1218</v>
      </c>
      <c r="T144" s="169">
        <v>2011</v>
      </c>
      <c r="U144" s="173">
        <v>14</v>
      </c>
      <c r="V144" s="173">
        <v>10</v>
      </c>
      <c r="W144" s="174">
        <v>40575</v>
      </c>
    </row>
    <row r="145" spans="1:23" x14ac:dyDescent="0.2">
      <c r="A145" s="171">
        <v>13101</v>
      </c>
      <c r="B145" s="172" t="s">
        <v>1232</v>
      </c>
      <c r="C145" s="172" t="s">
        <v>1216</v>
      </c>
      <c r="D145" s="172" t="s">
        <v>1233</v>
      </c>
      <c r="E145" s="173">
        <v>34.5</v>
      </c>
      <c r="F145" s="173">
        <v>3</v>
      </c>
      <c r="G145" s="173">
        <v>3</v>
      </c>
      <c r="H145" s="173">
        <v>3</v>
      </c>
      <c r="I145" s="173">
        <v>0</v>
      </c>
      <c r="J145" s="173">
        <v>0</v>
      </c>
      <c r="K145" s="173">
        <v>0</v>
      </c>
      <c r="L145" s="173">
        <v>0</v>
      </c>
      <c r="M145" s="173">
        <v>0</v>
      </c>
      <c r="N145" s="173">
        <v>0</v>
      </c>
      <c r="O145" s="173">
        <v>7</v>
      </c>
      <c r="P145" s="173">
        <v>5.7333333333333334</v>
      </c>
      <c r="Q145" s="173">
        <v>7</v>
      </c>
      <c r="R145" s="173">
        <v>5.7333333333333334</v>
      </c>
      <c r="S145" s="169" t="s">
        <v>1218</v>
      </c>
      <c r="T145" s="169">
        <v>2011</v>
      </c>
      <c r="U145" s="173">
        <v>14</v>
      </c>
      <c r="V145" s="173">
        <v>10</v>
      </c>
      <c r="W145" s="174">
        <v>40603</v>
      </c>
    </row>
    <row r="146" spans="1:23" x14ac:dyDescent="0.2">
      <c r="A146" s="171">
        <v>13101</v>
      </c>
      <c r="B146" s="172" t="s">
        <v>1232</v>
      </c>
      <c r="C146" s="172" t="s">
        <v>1216</v>
      </c>
      <c r="D146" s="172" t="s">
        <v>1233</v>
      </c>
      <c r="E146" s="173">
        <v>34.5</v>
      </c>
      <c r="F146" s="173">
        <v>3</v>
      </c>
      <c r="G146" s="173">
        <v>9</v>
      </c>
      <c r="H146" s="173">
        <v>9</v>
      </c>
      <c r="I146" s="173">
        <v>0</v>
      </c>
      <c r="J146" s="173">
        <v>0</v>
      </c>
      <c r="K146" s="173">
        <v>0</v>
      </c>
      <c r="L146" s="173">
        <v>0</v>
      </c>
      <c r="M146" s="173">
        <v>0</v>
      </c>
      <c r="N146" s="173">
        <v>0</v>
      </c>
      <c r="O146" s="173">
        <v>11</v>
      </c>
      <c r="P146" s="173">
        <v>0.96666666666666667</v>
      </c>
      <c r="Q146" s="173">
        <v>11</v>
      </c>
      <c r="R146" s="173">
        <v>0.96666666666666667</v>
      </c>
      <c r="S146" s="169" t="s">
        <v>1219</v>
      </c>
      <c r="T146" s="169">
        <v>2011</v>
      </c>
      <c r="U146" s="173">
        <v>14</v>
      </c>
      <c r="V146" s="173">
        <v>8</v>
      </c>
      <c r="W146" s="174">
        <v>40634</v>
      </c>
    </row>
    <row r="147" spans="1:23" x14ac:dyDescent="0.2">
      <c r="A147" s="171">
        <v>13101</v>
      </c>
      <c r="B147" s="172" t="s">
        <v>1232</v>
      </c>
      <c r="C147" s="172" t="s">
        <v>1216</v>
      </c>
      <c r="D147" s="172" t="s">
        <v>1233</v>
      </c>
      <c r="E147" s="173">
        <v>34.5</v>
      </c>
      <c r="F147" s="173">
        <v>3</v>
      </c>
      <c r="G147" s="173">
        <v>2</v>
      </c>
      <c r="H147" s="173">
        <v>2</v>
      </c>
      <c r="I147" s="173">
        <v>0</v>
      </c>
      <c r="J147" s="173">
        <v>0</v>
      </c>
      <c r="K147" s="173">
        <v>2</v>
      </c>
      <c r="L147" s="173">
        <v>15</v>
      </c>
      <c r="M147" s="173">
        <v>0</v>
      </c>
      <c r="N147" s="173">
        <v>0</v>
      </c>
      <c r="O147" s="173">
        <v>5</v>
      </c>
      <c r="P147" s="173">
        <v>1.5833333333333333</v>
      </c>
      <c r="Q147" s="173">
        <v>5</v>
      </c>
      <c r="R147" s="173">
        <v>1.5833333333333333</v>
      </c>
      <c r="S147" s="169" t="s">
        <v>1219</v>
      </c>
      <c r="T147" s="169">
        <v>2011</v>
      </c>
      <c r="U147" s="173">
        <v>14</v>
      </c>
      <c r="V147" s="173">
        <v>8</v>
      </c>
      <c r="W147" s="174">
        <v>40664</v>
      </c>
    </row>
    <row r="148" spans="1:23" x14ac:dyDescent="0.2">
      <c r="A148" s="171">
        <v>13101</v>
      </c>
      <c r="B148" s="172" t="s">
        <v>1232</v>
      </c>
      <c r="C148" s="172" t="s">
        <v>1216</v>
      </c>
      <c r="D148" s="172" t="s">
        <v>1233</v>
      </c>
      <c r="E148" s="173">
        <v>34.5</v>
      </c>
      <c r="F148" s="173">
        <v>3</v>
      </c>
      <c r="G148" s="173">
        <v>1</v>
      </c>
      <c r="H148" s="173">
        <v>1</v>
      </c>
      <c r="I148" s="173">
        <v>0</v>
      </c>
      <c r="J148" s="173">
        <v>0</v>
      </c>
      <c r="K148" s="173">
        <v>0</v>
      </c>
      <c r="L148" s="173">
        <v>0</v>
      </c>
      <c r="M148" s="173">
        <v>2</v>
      </c>
      <c r="N148" s="173">
        <v>6.6</v>
      </c>
      <c r="O148" s="173">
        <v>2</v>
      </c>
      <c r="P148" s="173">
        <v>0.15</v>
      </c>
      <c r="Q148" s="173">
        <v>4</v>
      </c>
      <c r="R148" s="173">
        <v>6.75</v>
      </c>
      <c r="S148" s="169" t="s">
        <v>1219</v>
      </c>
      <c r="T148" s="169">
        <v>2011</v>
      </c>
      <c r="U148" s="173">
        <v>14</v>
      </c>
      <c r="V148" s="173">
        <v>8</v>
      </c>
      <c r="W148" s="174">
        <v>40695</v>
      </c>
    </row>
    <row r="149" spans="1:23" x14ac:dyDescent="0.2">
      <c r="A149" s="171">
        <v>13101</v>
      </c>
      <c r="B149" s="172" t="s">
        <v>1232</v>
      </c>
      <c r="C149" s="172" t="s">
        <v>1216</v>
      </c>
      <c r="D149" s="172" t="s">
        <v>1233</v>
      </c>
      <c r="E149" s="173">
        <v>34.5</v>
      </c>
      <c r="F149" s="173">
        <v>3</v>
      </c>
      <c r="G149" s="173">
        <v>5</v>
      </c>
      <c r="H149" s="173">
        <v>5</v>
      </c>
      <c r="I149" s="173">
        <v>0</v>
      </c>
      <c r="J149" s="173">
        <v>0</v>
      </c>
      <c r="K149" s="173">
        <v>2</v>
      </c>
      <c r="L149" s="173">
        <v>9</v>
      </c>
      <c r="M149" s="173">
        <v>0</v>
      </c>
      <c r="N149" s="173">
        <v>0</v>
      </c>
      <c r="O149" s="173">
        <v>3</v>
      </c>
      <c r="P149" s="173">
        <v>5.5333333333333332</v>
      </c>
      <c r="Q149" s="173">
        <v>3</v>
      </c>
      <c r="R149" s="173">
        <v>5.5333333333333332</v>
      </c>
      <c r="S149" s="169" t="s">
        <v>1220</v>
      </c>
      <c r="T149" s="169">
        <v>2011</v>
      </c>
      <c r="U149" s="173">
        <v>10</v>
      </c>
      <c r="V149" s="173">
        <v>4.5</v>
      </c>
      <c r="W149" s="174">
        <v>40725</v>
      </c>
    </row>
    <row r="150" spans="1:23" x14ac:dyDescent="0.2">
      <c r="A150" s="171">
        <v>13101</v>
      </c>
      <c r="B150" s="172" t="s">
        <v>1232</v>
      </c>
      <c r="C150" s="172" t="s">
        <v>1216</v>
      </c>
      <c r="D150" s="172" t="s">
        <v>1233</v>
      </c>
      <c r="E150" s="173">
        <v>34.5</v>
      </c>
      <c r="F150" s="173">
        <v>3</v>
      </c>
      <c r="G150" s="173">
        <v>4</v>
      </c>
      <c r="H150" s="173">
        <v>4</v>
      </c>
      <c r="I150" s="173">
        <v>0</v>
      </c>
      <c r="J150" s="173">
        <v>0</v>
      </c>
      <c r="K150" s="173">
        <v>0</v>
      </c>
      <c r="L150" s="173">
        <v>0</v>
      </c>
      <c r="M150" s="173">
        <v>0</v>
      </c>
      <c r="N150" s="173">
        <v>0</v>
      </c>
      <c r="O150" s="173">
        <v>8</v>
      </c>
      <c r="P150" s="173">
        <v>4.666666666666667</v>
      </c>
      <c r="Q150" s="173">
        <v>8</v>
      </c>
      <c r="R150" s="173">
        <v>4.666666666666667</v>
      </c>
      <c r="S150" s="169" t="s">
        <v>1220</v>
      </c>
      <c r="T150" s="169">
        <v>2011</v>
      </c>
      <c r="U150" s="173">
        <v>10</v>
      </c>
      <c r="V150" s="173">
        <v>4.5</v>
      </c>
      <c r="W150" s="174">
        <v>40756</v>
      </c>
    </row>
    <row r="151" spans="1:23" x14ac:dyDescent="0.2">
      <c r="A151" s="171">
        <v>31001</v>
      </c>
      <c r="B151" s="172" t="s">
        <v>1234</v>
      </c>
      <c r="C151" s="172" t="s">
        <v>1216</v>
      </c>
      <c r="D151" s="172" t="s">
        <v>1235</v>
      </c>
      <c r="E151" s="173">
        <v>34.5</v>
      </c>
      <c r="F151" s="173">
        <v>4</v>
      </c>
      <c r="G151" s="173">
        <v>0</v>
      </c>
      <c r="H151" s="173">
        <v>0</v>
      </c>
      <c r="I151" s="173">
        <v>5</v>
      </c>
      <c r="J151" s="173">
        <v>587</v>
      </c>
      <c r="K151" s="173">
        <v>0</v>
      </c>
      <c r="L151" s="173">
        <v>0</v>
      </c>
      <c r="M151" s="173">
        <v>0</v>
      </c>
      <c r="N151" s="173">
        <v>0</v>
      </c>
      <c r="O151" s="173">
        <v>0</v>
      </c>
      <c r="P151" s="173">
        <v>0</v>
      </c>
      <c r="Q151" s="173">
        <v>0</v>
      </c>
      <c r="R151" s="173">
        <v>0</v>
      </c>
      <c r="S151" s="169" t="s">
        <v>1218</v>
      </c>
      <c r="T151" s="169">
        <v>2010</v>
      </c>
      <c r="U151" s="173">
        <v>14</v>
      </c>
      <c r="V151" s="173">
        <v>9.75</v>
      </c>
      <c r="W151" s="174">
        <v>40179</v>
      </c>
    </row>
    <row r="152" spans="1:23" x14ac:dyDescent="0.2">
      <c r="A152" s="171">
        <v>31001</v>
      </c>
      <c r="B152" s="172" t="s">
        <v>1234</v>
      </c>
      <c r="C152" s="172" t="s">
        <v>1216</v>
      </c>
      <c r="D152" s="172" t="s">
        <v>1235</v>
      </c>
      <c r="E152" s="173">
        <v>34.5</v>
      </c>
      <c r="F152" s="173">
        <v>4</v>
      </c>
      <c r="G152" s="173">
        <v>0</v>
      </c>
      <c r="H152" s="173">
        <v>0</v>
      </c>
      <c r="I152" s="173">
        <v>3</v>
      </c>
      <c r="J152" s="173">
        <v>48</v>
      </c>
      <c r="K152" s="173">
        <v>0</v>
      </c>
      <c r="L152" s="173">
        <v>0</v>
      </c>
      <c r="M152" s="173">
        <v>0</v>
      </c>
      <c r="N152" s="173">
        <v>0</v>
      </c>
      <c r="O152" s="173">
        <v>0</v>
      </c>
      <c r="P152" s="173">
        <v>0</v>
      </c>
      <c r="Q152" s="173">
        <v>0</v>
      </c>
      <c r="R152" s="173">
        <v>0</v>
      </c>
      <c r="S152" s="169" t="s">
        <v>1218</v>
      </c>
      <c r="T152" s="169">
        <v>2010</v>
      </c>
      <c r="U152" s="173">
        <v>14</v>
      </c>
      <c r="V152" s="173">
        <v>9.75</v>
      </c>
      <c r="W152" s="174">
        <v>40210</v>
      </c>
    </row>
    <row r="153" spans="1:23" x14ac:dyDescent="0.2">
      <c r="A153" s="171">
        <v>31001</v>
      </c>
      <c r="B153" s="172" t="s">
        <v>1234</v>
      </c>
      <c r="C153" s="172" t="s">
        <v>1216</v>
      </c>
      <c r="D153" s="172" t="s">
        <v>1235</v>
      </c>
      <c r="E153" s="173">
        <v>34.5</v>
      </c>
      <c r="F153" s="173">
        <v>4</v>
      </c>
      <c r="G153" s="173">
        <v>0</v>
      </c>
      <c r="H153" s="173">
        <v>0</v>
      </c>
      <c r="I153" s="173">
        <v>2</v>
      </c>
      <c r="J153" s="173">
        <v>16</v>
      </c>
      <c r="K153" s="173">
        <v>0</v>
      </c>
      <c r="L153" s="173">
        <v>0</v>
      </c>
      <c r="M153" s="173">
        <v>0</v>
      </c>
      <c r="N153" s="173">
        <v>0</v>
      </c>
      <c r="O153" s="173">
        <v>3</v>
      </c>
      <c r="P153" s="173">
        <v>1.7166666666666666</v>
      </c>
      <c r="Q153" s="173">
        <v>3</v>
      </c>
      <c r="R153" s="173">
        <v>1.7166666666666666</v>
      </c>
      <c r="S153" s="169" t="s">
        <v>1218</v>
      </c>
      <c r="T153" s="169">
        <v>2010</v>
      </c>
      <c r="U153" s="173">
        <v>14</v>
      </c>
      <c r="V153" s="173">
        <v>9.75</v>
      </c>
      <c r="W153" s="174">
        <v>40238</v>
      </c>
    </row>
    <row r="154" spans="1:23" x14ac:dyDescent="0.2">
      <c r="A154" s="171">
        <v>31001</v>
      </c>
      <c r="B154" s="172" t="s">
        <v>1234</v>
      </c>
      <c r="C154" s="172" t="s">
        <v>1216</v>
      </c>
      <c r="D154" s="172" t="s">
        <v>1235</v>
      </c>
      <c r="E154" s="173">
        <v>34.5</v>
      </c>
      <c r="F154" s="173">
        <v>4</v>
      </c>
      <c r="G154" s="173">
        <v>0</v>
      </c>
      <c r="H154" s="173">
        <v>0</v>
      </c>
      <c r="I154" s="173">
        <v>3</v>
      </c>
      <c r="J154" s="173">
        <v>47</v>
      </c>
      <c r="K154" s="173">
        <v>0</v>
      </c>
      <c r="L154" s="173">
        <v>0</v>
      </c>
      <c r="M154" s="173">
        <v>0</v>
      </c>
      <c r="N154" s="173">
        <v>0</v>
      </c>
      <c r="O154" s="173">
        <v>1</v>
      </c>
      <c r="P154" s="173">
        <v>0.58333333333333337</v>
      </c>
      <c r="Q154" s="173">
        <v>1</v>
      </c>
      <c r="R154" s="173">
        <v>0.58333333333333337</v>
      </c>
      <c r="S154" s="169" t="s">
        <v>1219</v>
      </c>
      <c r="T154" s="169">
        <v>2010</v>
      </c>
      <c r="U154" s="173">
        <v>14</v>
      </c>
      <c r="V154" s="173">
        <v>9.75</v>
      </c>
      <c r="W154" s="174">
        <v>40269</v>
      </c>
    </row>
    <row r="155" spans="1:23" x14ac:dyDescent="0.2">
      <c r="A155" s="171">
        <v>31001</v>
      </c>
      <c r="B155" s="172" t="s">
        <v>1234</v>
      </c>
      <c r="C155" s="172" t="s">
        <v>1216</v>
      </c>
      <c r="D155" s="172" t="s">
        <v>1235</v>
      </c>
      <c r="E155" s="173">
        <v>34.5</v>
      </c>
      <c r="F155" s="173">
        <v>4</v>
      </c>
      <c r="G155" s="173">
        <v>0</v>
      </c>
      <c r="H155" s="173">
        <v>0</v>
      </c>
      <c r="I155" s="173">
        <v>1</v>
      </c>
      <c r="J155" s="173">
        <v>40</v>
      </c>
      <c r="K155" s="173">
        <v>0</v>
      </c>
      <c r="L155" s="173">
        <v>0</v>
      </c>
      <c r="M155" s="173">
        <v>0</v>
      </c>
      <c r="N155" s="173">
        <v>0</v>
      </c>
      <c r="O155" s="173">
        <v>2</v>
      </c>
      <c r="P155" s="173">
        <v>0.6</v>
      </c>
      <c r="Q155" s="173">
        <v>2</v>
      </c>
      <c r="R155" s="173">
        <v>0.6</v>
      </c>
      <c r="S155" s="169" t="s">
        <v>1219</v>
      </c>
      <c r="T155" s="169">
        <v>2010</v>
      </c>
      <c r="U155" s="173">
        <v>14</v>
      </c>
      <c r="V155" s="173">
        <v>9.75</v>
      </c>
      <c r="W155" s="174">
        <v>40299</v>
      </c>
    </row>
    <row r="156" spans="1:23" x14ac:dyDescent="0.2">
      <c r="A156" s="171">
        <v>31001</v>
      </c>
      <c r="B156" s="172" t="s">
        <v>1234</v>
      </c>
      <c r="C156" s="172" t="s">
        <v>1216</v>
      </c>
      <c r="D156" s="172" t="s">
        <v>1235</v>
      </c>
      <c r="E156" s="173">
        <v>34.5</v>
      </c>
      <c r="F156" s="173">
        <v>4</v>
      </c>
      <c r="G156" s="173">
        <v>1</v>
      </c>
      <c r="H156" s="173">
        <v>1</v>
      </c>
      <c r="I156" s="173">
        <v>3</v>
      </c>
      <c r="J156" s="173">
        <v>48</v>
      </c>
      <c r="K156" s="173">
        <v>0</v>
      </c>
      <c r="L156" s="173">
        <v>0</v>
      </c>
      <c r="M156" s="173">
        <v>0</v>
      </c>
      <c r="N156" s="173">
        <v>0</v>
      </c>
      <c r="O156" s="173">
        <v>0</v>
      </c>
      <c r="P156" s="173">
        <v>0</v>
      </c>
      <c r="Q156" s="173">
        <v>0</v>
      </c>
      <c r="R156" s="173">
        <v>0</v>
      </c>
      <c r="S156" s="169" t="s">
        <v>1219</v>
      </c>
      <c r="T156" s="169">
        <v>2010</v>
      </c>
      <c r="U156" s="173">
        <v>14</v>
      </c>
      <c r="V156" s="173">
        <v>9.75</v>
      </c>
      <c r="W156" s="174">
        <v>40330</v>
      </c>
    </row>
    <row r="157" spans="1:23" x14ac:dyDescent="0.2">
      <c r="A157" s="171">
        <v>31001</v>
      </c>
      <c r="B157" s="172" t="s">
        <v>1234</v>
      </c>
      <c r="C157" s="172" t="s">
        <v>1216</v>
      </c>
      <c r="D157" s="172" t="s">
        <v>1235</v>
      </c>
      <c r="E157" s="173">
        <v>34.5</v>
      </c>
      <c r="F157" s="173">
        <v>4</v>
      </c>
      <c r="G157" s="173">
        <v>0</v>
      </c>
      <c r="H157" s="173">
        <v>0</v>
      </c>
      <c r="I157" s="173">
        <v>2</v>
      </c>
      <c r="J157" s="173">
        <v>28</v>
      </c>
      <c r="K157" s="173">
        <v>0</v>
      </c>
      <c r="L157" s="173">
        <v>0</v>
      </c>
      <c r="M157" s="173">
        <v>0</v>
      </c>
      <c r="N157" s="173">
        <v>0</v>
      </c>
      <c r="O157" s="173">
        <v>2</v>
      </c>
      <c r="P157" s="173">
        <v>29.7</v>
      </c>
      <c r="Q157" s="173">
        <v>2</v>
      </c>
      <c r="R157" s="173">
        <v>29.7</v>
      </c>
      <c r="S157" s="169" t="s">
        <v>1220</v>
      </c>
      <c r="T157" s="169">
        <v>2010</v>
      </c>
      <c r="U157" s="173">
        <v>14</v>
      </c>
      <c r="V157" s="173">
        <v>9.75</v>
      </c>
      <c r="W157" s="174">
        <v>40360</v>
      </c>
    </row>
    <row r="158" spans="1:23" x14ac:dyDescent="0.2">
      <c r="A158" s="171">
        <v>31001</v>
      </c>
      <c r="B158" s="172" t="s">
        <v>1234</v>
      </c>
      <c r="C158" s="172" t="s">
        <v>1216</v>
      </c>
      <c r="D158" s="172" t="s">
        <v>1235</v>
      </c>
      <c r="E158" s="173">
        <v>34.5</v>
      </c>
      <c r="F158" s="173">
        <v>4</v>
      </c>
      <c r="G158" s="173">
        <v>0</v>
      </c>
      <c r="H158" s="173">
        <v>0</v>
      </c>
      <c r="I158" s="173">
        <v>0</v>
      </c>
      <c r="J158" s="173">
        <v>0</v>
      </c>
      <c r="K158" s="173">
        <v>0</v>
      </c>
      <c r="L158" s="173">
        <v>0</v>
      </c>
      <c r="M158" s="173">
        <v>0</v>
      </c>
      <c r="N158" s="173">
        <v>0</v>
      </c>
      <c r="O158" s="173">
        <v>0</v>
      </c>
      <c r="P158" s="173">
        <v>0</v>
      </c>
      <c r="Q158" s="173">
        <v>0</v>
      </c>
      <c r="R158" s="173">
        <v>0</v>
      </c>
      <c r="S158" s="169" t="s">
        <v>1220</v>
      </c>
      <c r="T158" s="169">
        <v>2010</v>
      </c>
      <c r="U158" s="173">
        <v>14</v>
      </c>
      <c r="V158" s="173">
        <v>9.75</v>
      </c>
      <c r="W158" s="174">
        <v>40391</v>
      </c>
    </row>
    <row r="159" spans="1:23" x14ac:dyDescent="0.2">
      <c r="A159" s="171">
        <v>31001</v>
      </c>
      <c r="B159" s="172" t="s">
        <v>1234</v>
      </c>
      <c r="C159" s="172" t="s">
        <v>1216</v>
      </c>
      <c r="D159" s="172" t="s">
        <v>1235</v>
      </c>
      <c r="E159" s="173">
        <v>34.5</v>
      </c>
      <c r="F159" s="173">
        <v>4</v>
      </c>
      <c r="G159" s="173">
        <v>0</v>
      </c>
      <c r="H159" s="173">
        <v>0</v>
      </c>
      <c r="I159" s="173">
        <v>4</v>
      </c>
      <c r="J159" s="173">
        <v>58</v>
      </c>
      <c r="K159" s="173">
        <v>0</v>
      </c>
      <c r="L159" s="173">
        <v>0</v>
      </c>
      <c r="M159" s="173">
        <v>0</v>
      </c>
      <c r="N159" s="173">
        <v>0</v>
      </c>
      <c r="O159" s="173">
        <v>1</v>
      </c>
      <c r="P159" s="173">
        <v>0.2</v>
      </c>
      <c r="Q159" s="173">
        <v>1</v>
      </c>
      <c r="R159" s="173">
        <v>0.2</v>
      </c>
      <c r="S159" s="169" t="s">
        <v>1220</v>
      </c>
      <c r="T159" s="169">
        <v>2010</v>
      </c>
      <c r="U159" s="173">
        <v>14</v>
      </c>
      <c r="V159" s="173">
        <v>9.75</v>
      </c>
      <c r="W159" s="174">
        <v>40422</v>
      </c>
    </row>
    <row r="160" spans="1:23" x14ac:dyDescent="0.2">
      <c r="A160" s="171">
        <v>31001</v>
      </c>
      <c r="B160" s="172" t="s">
        <v>1234</v>
      </c>
      <c r="C160" s="172" t="s">
        <v>1216</v>
      </c>
      <c r="D160" s="172" t="s">
        <v>1235</v>
      </c>
      <c r="E160" s="173">
        <v>34.5</v>
      </c>
      <c r="F160" s="173">
        <v>4</v>
      </c>
      <c r="G160" s="173">
        <v>0</v>
      </c>
      <c r="H160" s="173">
        <v>0</v>
      </c>
      <c r="I160" s="173">
        <v>0</v>
      </c>
      <c r="J160" s="173">
        <v>0</v>
      </c>
      <c r="K160" s="173">
        <v>0</v>
      </c>
      <c r="L160" s="173">
        <v>0</v>
      </c>
      <c r="M160" s="173">
        <v>0</v>
      </c>
      <c r="N160" s="173">
        <v>0</v>
      </c>
      <c r="O160" s="173">
        <v>0</v>
      </c>
      <c r="P160" s="173">
        <v>0</v>
      </c>
      <c r="Q160" s="173">
        <v>0</v>
      </c>
      <c r="R160" s="173">
        <v>0</v>
      </c>
      <c r="S160" s="169" t="s">
        <v>1221</v>
      </c>
      <c r="T160" s="169">
        <v>2010</v>
      </c>
      <c r="U160" s="173">
        <v>16</v>
      </c>
      <c r="V160" s="173">
        <v>9.75</v>
      </c>
      <c r="W160" s="174">
        <v>40452</v>
      </c>
    </row>
    <row r="161" spans="1:23" x14ac:dyDescent="0.2">
      <c r="A161" s="171">
        <v>31001</v>
      </c>
      <c r="B161" s="172" t="s">
        <v>1234</v>
      </c>
      <c r="C161" s="172" t="s">
        <v>1216</v>
      </c>
      <c r="D161" s="172" t="s">
        <v>1235</v>
      </c>
      <c r="E161" s="173">
        <v>34.5</v>
      </c>
      <c r="F161" s="173">
        <v>4</v>
      </c>
      <c r="G161" s="173">
        <v>0</v>
      </c>
      <c r="H161" s="173">
        <v>0</v>
      </c>
      <c r="I161" s="173">
        <v>0</v>
      </c>
      <c r="J161" s="173">
        <v>0</v>
      </c>
      <c r="K161" s="173">
        <v>0</v>
      </c>
      <c r="L161" s="173">
        <v>0</v>
      </c>
      <c r="M161" s="173">
        <v>0</v>
      </c>
      <c r="N161" s="173">
        <v>0</v>
      </c>
      <c r="O161" s="173">
        <v>6</v>
      </c>
      <c r="P161" s="173">
        <v>1.7333333333333334</v>
      </c>
      <c r="Q161" s="173">
        <v>6</v>
      </c>
      <c r="R161" s="173">
        <v>1.7333333333333334</v>
      </c>
      <c r="S161" s="169" t="s">
        <v>1221</v>
      </c>
      <c r="T161" s="169">
        <v>2010</v>
      </c>
      <c r="U161" s="173">
        <v>16</v>
      </c>
      <c r="V161" s="173">
        <v>9.75</v>
      </c>
      <c r="W161" s="174">
        <v>40483</v>
      </c>
    </row>
    <row r="162" spans="1:23" x14ac:dyDescent="0.2">
      <c r="A162" s="171">
        <v>31001</v>
      </c>
      <c r="B162" s="172" t="s">
        <v>1234</v>
      </c>
      <c r="C162" s="172" t="s">
        <v>1216</v>
      </c>
      <c r="D162" s="172" t="s">
        <v>1235</v>
      </c>
      <c r="E162" s="173">
        <v>34.5</v>
      </c>
      <c r="F162" s="173">
        <v>4</v>
      </c>
      <c r="G162" s="173">
        <v>1</v>
      </c>
      <c r="H162" s="173">
        <v>1</v>
      </c>
      <c r="I162" s="173">
        <v>0</v>
      </c>
      <c r="J162" s="173">
        <v>0</v>
      </c>
      <c r="K162" s="173">
        <v>0</v>
      </c>
      <c r="L162" s="173">
        <v>0</v>
      </c>
      <c r="M162" s="173">
        <v>0</v>
      </c>
      <c r="N162" s="173">
        <v>0</v>
      </c>
      <c r="O162" s="173">
        <v>0</v>
      </c>
      <c r="P162" s="173">
        <v>0</v>
      </c>
      <c r="Q162" s="173">
        <v>0</v>
      </c>
      <c r="R162" s="173">
        <v>0</v>
      </c>
      <c r="S162" s="169" t="s">
        <v>1221</v>
      </c>
      <c r="T162" s="169">
        <v>2010</v>
      </c>
      <c r="U162" s="173">
        <v>16</v>
      </c>
      <c r="V162" s="173">
        <v>9.75</v>
      </c>
      <c r="W162" s="174">
        <v>40513</v>
      </c>
    </row>
    <row r="163" spans="1:23" x14ac:dyDescent="0.2">
      <c r="A163" s="171">
        <v>31001</v>
      </c>
      <c r="B163" s="172" t="s">
        <v>1234</v>
      </c>
      <c r="C163" s="172" t="s">
        <v>1216</v>
      </c>
      <c r="D163" s="172" t="s">
        <v>1235</v>
      </c>
      <c r="E163" s="173">
        <v>34.5</v>
      </c>
      <c r="F163" s="173">
        <v>4</v>
      </c>
      <c r="G163" s="173">
        <v>3</v>
      </c>
      <c r="H163" s="173">
        <v>3</v>
      </c>
      <c r="I163" s="173">
        <v>0</v>
      </c>
      <c r="J163" s="173">
        <v>0</v>
      </c>
      <c r="K163" s="173">
        <v>0</v>
      </c>
      <c r="L163" s="173">
        <v>0</v>
      </c>
      <c r="M163" s="173">
        <v>0</v>
      </c>
      <c r="N163" s="173">
        <v>0</v>
      </c>
      <c r="O163" s="173">
        <v>0</v>
      </c>
      <c r="P163" s="173">
        <v>0</v>
      </c>
      <c r="Q163" s="173">
        <v>0</v>
      </c>
      <c r="R163" s="173">
        <v>0</v>
      </c>
      <c r="S163" s="169" t="s">
        <v>1218</v>
      </c>
      <c r="T163" s="169">
        <v>2011</v>
      </c>
      <c r="U163" s="173">
        <v>16</v>
      </c>
      <c r="V163" s="173">
        <v>10</v>
      </c>
      <c r="W163" s="174">
        <v>40544</v>
      </c>
    </row>
    <row r="164" spans="1:23" x14ac:dyDescent="0.2">
      <c r="A164" s="171">
        <v>31001</v>
      </c>
      <c r="B164" s="172" t="s">
        <v>1234</v>
      </c>
      <c r="C164" s="172" t="s">
        <v>1216</v>
      </c>
      <c r="D164" s="172" t="s">
        <v>1235</v>
      </c>
      <c r="E164" s="173">
        <v>34.5</v>
      </c>
      <c r="F164" s="173">
        <v>4</v>
      </c>
      <c r="G164" s="173">
        <v>0</v>
      </c>
      <c r="H164" s="173">
        <v>0</v>
      </c>
      <c r="I164" s="173">
        <v>0</v>
      </c>
      <c r="J164" s="173">
        <v>0</v>
      </c>
      <c r="K164" s="173">
        <v>0</v>
      </c>
      <c r="L164" s="173">
        <v>0</v>
      </c>
      <c r="M164" s="173">
        <v>0</v>
      </c>
      <c r="N164" s="173">
        <v>0</v>
      </c>
      <c r="O164" s="173">
        <v>3</v>
      </c>
      <c r="P164" s="173">
        <v>0.38333333333333336</v>
      </c>
      <c r="Q164" s="173">
        <v>3</v>
      </c>
      <c r="R164" s="173">
        <v>0.38333333333333336</v>
      </c>
      <c r="S164" s="169" t="s">
        <v>1218</v>
      </c>
      <c r="T164" s="169">
        <v>2011</v>
      </c>
      <c r="U164" s="173">
        <v>16</v>
      </c>
      <c r="V164" s="173">
        <v>10</v>
      </c>
      <c r="W164" s="174">
        <v>40575</v>
      </c>
    </row>
    <row r="165" spans="1:23" x14ac:dyDescent="0.2">
      <c r="A165" s="171">
        <v>31001</v>
      </c>
      <c r="B165" s="172" t="s">
        <v>1234</v>
      </c>
      <c r="C165" s="172" t="s">
        <v>1216</v>
      </c>
      <c r="D165" s="172" t="s">
        <v>1235</v>
      </c>
      <c r="E165" s="173">
        <v>34.5</v>
      </c>
      <c r="F165" s="173">
        <v>4</v>
      </c>
      <c r="G165" s="173">
        <v>0</v>
      </c>
      <c r="H165" s="173">
        <v>0</v>
      </c>
      <c r="I165" s="173">
        <v>0</v>
      </c>
      <c r="J165" s="173">
        <v>0</v>
      </c>
      <c r="K165" s="173">
        <v>0</v>
      </c>
      <c r="L165" s="173">
        <v>0</v>
      </c>
      <c r="M165" s="173">
        <v>0</v>
      </c>
      <c r="N165" s="173">
        <v>0</v>
      </c>
      <c r="O165" s="173">
        <v>1</v>
      </c>
      <c r="P165" s="173">
        <v>8.3333333333333329E-2</v>
      </c>
      <c r="Q165" s="173">
        <v>1</v>
      </c>
      <c r="R165" s="173">
        <v>8.3333333333333329E-2</v>
      </c>
      <c r="S165" s="169" t="s">
        <v>1218</v>
      </c>
      <c r="T165" s="169">
        <v>2011</v>
      </c>
      <c r="U165" s="173">
        <v>16</v>
      </c>
      <c r="V165" s="173">
        <v>10</v>
      </c>
      <c r="W165" s="174">
        <v>40603</v>
      </c>
    </row>
    <row r="166" spans="1:23" x14ac:dyDescent="0.2">
      <c r="A166" s="171">
        <v>31001</v>
      </c>
      <c r="B166" s="172" t="s">
        <v>1234</v>
      </c>
      <c r="C166" s="172" t="s">
        <v>1216</v>
      </c>
      <c r="D166" s="172" t="s">
        <v>1235</v>
      </c>
      <c r="E166" s="173">
        <v>34.5</v>
      </c>
      <c r="F166" s="173">
        <v>4</v>
      </c>
      <c r="G166" s="173">
        <v>0</v>
      </c>
      <c r="H166" s="173">
        <v>0</v>
      </c>
      <c r="I166" s="173">
        <v>0</v>
      </c>
      <c r="J166" s="173">
        <v>0</v>
      </c>
      <c r="K166" s="173">
        <v>0</v>
      </c>
      <c r="L166" s="173">
        <v>0</v>
      </c>
      <c r="M166" s="173">
        <v>0</v>
      </c>
      <c r="N166" s="173">
        <v>0</v>
      </c>
      <c r="O166" s="173">
        <v>2</v>
      </c>
      <c r="P166" s="173">
        <v>0.45</v>
      </c>
      <c r="Q166" s="173">
        <v>2</v>
      </c>
      <c r="R166" s="173">
        <v>0.45</v>
      </c>
      <c r="S166" s="169" t="s">
        <v>1219</v>
      </c>
      <c r="T166" s="169">
        <v>2011</v>
      </c>
      <c r="U166" s="173">
        <v>16</v>
      </c>
      <c r="V166" s="173">
        <v>9.5</v>
      </c>
      <c r="W166" s="174">
        <v>40634</v>
      </c>
    </row>
    <row r="167" spans="1:23" x14ac:dyDescent="0.2">
      <c r="A167" s="171">
        <v>31001</v>
      </c>
      <c r="B167" s="172" t="s">
        <v>1234</v>
      </c>
      <c r="C167" s="172" t="s">
        <v>1216</v>
      </c>
      <c r="D167" s="172" t="s">
        <v>1235</v>
      </c>
      <c r="E167" s="173">
        <v>34.5</v>
      </c>
      <c r="F167" s="173">
        <v>4</v>
      </c>
      <c r="G167" s="173">
        <v>0</v>
      </c>
      <c r="H167" s="173">
        <v>0</v>
      </c>
      <c r="I167" s="173">
        <v>0</v>
      </c>
      <c r="J167" s="173">
        <v>0</v>
      </c>
      <c r="K167" s="173">
        <v>0</v>
      </c>
      <c r="L167" s="173">
        <v>0</v>
      </c>
      <c r="M167" s="173">
        <v>0</v>
      </c>
      <c r="N167" s="173">
        <v>0</v>
      </c>
      <c r="O167" s="173">
        <v>0</v>
      </c>
      <c r="P167" s="173">
        <v>0</v>
      </c>
      <c r="Q167" s="173">
        <v>0</v>
      </c>
      <c r="R167" s="173">
        <v>0</v>
      </c>
      <c r="S167" s="169" t="s">
        <v>1219</v>
      </c>
      <c r="T167" s="169">
        <v>2011</v>
      </c>
      <c r="U167" s="173">
        <v>16</v>
      </c>
      <c r="V167" s="173">
        <v>9.5</v>
      </c>
      <c r="W167" s="174">
        <v>40664</v>
      </c>
    </row>
    <row r="168" spans="1:23" x14ac:dyDescent="0.2">
      <c r="A168" s="171">
        <v>31001</v>
      </c>
      <c r="B168" s="172" t="s">
        <v>1234</v>
      </c>
      <c r="C168" s="172" t="s">
        <v>1216</v>
      </c>
      <c r="D168" s="172" t="s">
        <v>1235</v>
      </c>
      <c r="E168" s="173">
        <v>34.5</v>
      </c>
      <c r="F168" s="173">
        <v>4</v>
      </c>
      <c r="G168" s="173">
        <v>0</v>
      </c>
      <c r="H168" s="173">
        <v>0</v>
      </c>
      <c r="I168" s="173">
        <v>0</v>
      </c>
      <c r="J168" s="173">
        <v>0</v>
      </c>
      <c r="K168" s="173">
        <v>0</v>
      </c>
      <c r="L168" s="173">
        <v>0</v>
      </c>
      <c r="M168" s="173">
        <v>0</v>
      </c>
      <c r="N168" s="173">
        <v>0</v>
      </c>
      <c r="O168" s="173">
        <v>0</v>
      </c>
      <c r="P168" s="173">
        <v>0</v>
      </c>
      <c r="Q168" s="173">
        <v>0</v>
      </c>
      <c r="R168" s="173">
        <v>0</v>
      </c>
      <c r="S168" s="169" t="s">
        <v>1219</v>
      </c>
      <c r="T168" s="169">
        <v>2011</v>
      </c>
      <c r="U168" s="173">
        <v>16</v>
      </c>
      <c r="V168" s="173">
        <v>9.5</v>
      </c>
      <c r="W168" s="174">
        <v>40695</v>
      </c>
    </row>
    <row r="169" spans="1:23" x14ac:dyDescent="0.2">
      <c r="A169" s="171">
        <v>31001</v>
      </c>
      <c r="B169" s="172" t="s">
        <v>1234</v>
      </c>
      <c r="C169" s="172" t="s">
        <v>1216</v>
      </c>
      <c r="D169" s="172" t="s">
        <v>1235</v>
      </c>
      <c r="E169" s="173">
        <v>34.5</v>
      </c>
      <c r="F169" s="173">
        <v>4</v>
      </c>
      <c r="G169" s="173">
        <v>0</v>
      </c>
      <c r="H169" s="173">
        <v>0</v>
      </c>
      <c r="I169" s="173">
        <v>0</v>
      </c>
      <c r="J169" s="173">
        <v>0</v>
      </c>
      <c r="K169" s="173">
        <v>0</v>
      </c>
      <c r="L169" s="173">
        <v>0</v>
      </c>
      <c r="M169" s="173">
        <v>0</v>
      </c>
      <c r="N169" s="173">
        <v>0</v>
      </c>
      <c r="O169" s="173">
        <v>0</v>
      </c>
      <c r="P169" s="173">
        <v>0</v>
      </c>
      <c r="Q169" s="173">
        <v>0</v>
      </c>
      <c r="R169" s="173">
        <v>0</v>
      </c>
      <c r="S169" s="169" t="s">
        <v>1220</v>
      </c>
      <c r="T169" s="169">
        <v>2011</v>
      </c>
      <c r="U169" s="173">
        <v>12</v>
      </c>
      <c r="V169" s="173">
        <v>9.5</v>
      </c>
      <c r="W169" s="174">
        <v>40725</v>
      </c>
    </row>
    <row r="170" spans="1:23" x14ac:dyDescent="0.2">
      <c r="A170" s="171">
        <v>31001</v>
      </c>
      <c r="B170" s="172" t="s">
        <v>1234</v>
      </c>
      <c r="C170" s="172" t="s">
        <v>1216</v>
      </c>
      <c r="D170" s="172" t="s">
        <v>1235</v>
      </c>
      <c r="E170" s="173">
        <v>34.5</v>
      </c>
      <c r="F170" s="173">
        <v>4</v>
      </c>
      <c r="G170" s="173">
        <v>0</v>
      </c>
      <c r="H170" s="173">
        <v>0</v>
      </c>
      <c r="I170" s="173">
        <v>0</v>
      </c>
      <c r="J170" s="173">
        <v>0</v>
      </c>
      <c r="K170" s="173">
        <v>0</v>
      </c>
      <c r="L170" s="173">
        <v>0</v>
      </c>
      <c r="M170" s="173">
        <v>0</v>
      </c>
      <c r="N170" s="173">
        <v>0</v>
      </c>
      <c r="O170" s="173">
        <v>1</v>
      </c>
      <c r="P170" s="173">
        <v>0.05</v>
      </c>
      <c r="Q170" s="173">
        <v>1</v>
      </c>
      <c r="R170" s="173">
        <v>0.05</v>
      </c>
      <c r="S170" s="169" t="s">
        <v>1220</v>
      </c>
      <c r="T170" s="169">
        <v>2011</v>
      </c>
      <c r="U170" s="173">
        <v>12</v>
      </c>
      <c r="V170" s="173">
        <v>9.5</v>
      </c>
      <c r="W170" s="174">
        <v>40756</v>
      </c>
    </row>
    <row r="171" spans="1:23" x14ac:dyDescent="0.2">
      <c r="A171" s="171">
        <v>14205</v>
      </c>
      <c r="B171" s="172" t="s">
        <v>1236</v>
      </c>
      <c r="C171" s="172" t="s">
        <v>1216</v>
      </c>
      <c r="D171" s="172" t="s">
        <v>1225</v>
      </c>
      <c r="E171" s="173">
        <v>34.5</v>
      </c>
      <c r="F171" s="173">
        <v>4</v>
      </c>
      <c r="G171" s="173">
        <v>0</v>
      </c>
      <c r="H171" s="173">
        <v>0</v>
      </c>
      <c r="I171" s="173">
        <v>0</v>
      </c>
      <c r="J171" s="173">
        <v>0</v>
      </c>
      <c r="K171" s="173">
        <v>0</v>
      </c>
      <c r="L171" s="173">
        <v>0</v>
      </c>
      <c r="M171" s="173">
        <v>0</v>
      </c>
      <c r="N171" s="173">
        <v>0</v>
      </c>
      <c r="O171" s="173">
        <v>0</v>
      </c>
      <c r="P171" s="173">
        <v>0</v>
      </c>
      <c r="Q171" s="173">
        <v>0</v>
      </c>
      <c r="R171" s="173">
        <v>0</v>
      </c>
      <c r="S171" s="169" t="s">
        <v>1218</v>
      </c>
      <c r="T171" s="169">
        <v>2010</v>
      </c>
      <c r="U171" s="173">
        <v>14</v>
      </c>
      <c r="V171" s="173">
        <v>9.75</v>
      </c>
      <c r="W171" s="174">
        <v>40179</v>
      </c>
    </row>
    <row r="172" spans="1:23" x14ac:dyDescent="0.2">
      <c r="A172" s="171">
        <v>14205</v>
      </c>
      <c r="B172" s="172" t="s">
        <v>1236</v>
      </c>
      <c r="C172" s="172" t="s">
        <v>1216</v>
      </c>
      <c r="D172" s="172" t="s">
        <v>1225</v>
      </c>
      <c r="E172" s="173">
        <v>34.5</v>
      </c>
      <c r="F172" s="173">
        <v>4</v>
      </c>
      <c r="G172" s="173">
        <v>0</v>
      </c>
      <c r="H172" s="173">
        <v>0</v>
      </c>
      <c r="I172" s="173">
        <v>0</v>
      </c>
      <c r="J172" s="173">
        <v>0</v>
      </c>
      <c r="K172" s="173">
        <v>0</v>
      </c>
      <c r="L172" s="173">
        <v>0</v>
      </c>
      <c r="M172" s="173">
        <v>0</v>
      </c>
      <c r="N172" s="173">
        <v>0</v>
      </c>
      <c r="O172" s="173">
        <v>0</v>
      </c>
      <c r="P172" s="173">
        <v>0</v>
      </c>
      <c r="Q172" s="173">
        <v>0</v>
      </c>
      <c r="R172" s="173">
        <v>0</v>
      </c>
      <c r="S172" s="169" t="s">
        <v>1218</v>
      </c>
      <c r="T172" s="169">
        <v>2010</v>
      </c>
      <c r="U172" s="173">
        <v>14</v>
      </c>
      <c r="V172" s="173">
        <v>9.75</v>
      </c>
      <c r="W172" s="174">
        <v>40210</v>
      </c>
    </row>
    <row r="173" spans="1:23" x14ac:dyDescent="0.2">
      <c r="A173" s="171">
        <v>14205</v>
      </c>
      <c r="B173" s="172" t="s">
        <v>1236</v>
      </c>
      <c r="C173" s="172" t="s">
        <v>1216</v>
      </c>
      <c r="D173" s="172" t="s">
        <v>1225</v>
      </c>
      <c r="E173" s="173">
        <v>34.5</v>
      </c>
      <c r="F173" s="173">
        <v>4</v>
      </c>
      <c r="G173" s="173">
        <v>0</v>
      </c>
      <c r="H173" s="173">
        <v>0</v>
      </c>
      <c r="I173" s="173">
        <v>0</v>
      </c>
      <c r="J173" s="173">
        <v>0</v>
      </c>
      <c r="K173" s="173">
        <v>0</v>
      </c>
      <c r="L173" s="173">
        <v>0</v>
      </c>
      <c r="M173" s="173">
        <v>0</v>
      </c>
      <c r="N173" s="173">
        <v>0</v>
      </c>
      <c r="O173" s="173">
        <v>0</v>
      </c>
      <c r="P173" s="173">
        <v>0</v>
      </c>
      <c r="Q173" s="173">
        <v>0</v>
      </c>
      <c r="R173" s="173">
        <v>0</v>
      </c>
      <c r="S173" s="169" t="s">
        <v>1218</v>
      </c>
      <c r="T173" s="169">
        <v>2010</v>
      </c>
      <c r="U173" s="173">
        <v>14</v>
      </c>
      <c r="V173" s="173">
        <v>9.75</v>
      </c>
      <c r="W173" s="174">
        <v>40238</v>
      </c>
    </row>
    <row r="174" spans="1:23" x14ac:dyDescent="0.2">
      <c r="A174" s="171">
        <v>14205</v>
      </c>
      <c r="B174" s="172" t="s">
        <v>1236</v>
      </c>
      <c r="C174" s="172" t="s">
        <v>1216</v>
      </c>
      <c r="D174" s="172" t="s">
        <v>1225</v>
      </c>
      <c r="E174" s="173">
        <v>34.5</v>
      </c>
      <c r="F174" s="173">
        <v>4</v>
      </c>
      <c r="G174" s="173">
        <v>0</v>
      </c>
      <c r="H174" s="173">
        <v>0</v>
      </c>
      <c r="I174" s="173">
        <v>0</v>
      </c>
      <c r="J174" s="173">
        <v>0</v>
      </c>
      <c r="K174" s="173">
        <v>0</v>
      </c>
      <c r="L174" s="173">
        <v>0</v>
      </c>
      <c r="M174" s="173">
        <v>0</v>
      </c>
      <c r="N174" s="173">
        <v>0</v>
      </c>
      <c r="O174" s="173">
        <v>0</v>
      </c>
      <c r="P174" s="173">
        <v>0</v>
      </c>
      <c r="Q174" s="173">
        <v>0</v>
      </c>
      <c r="R174" s="173">
        <v>0</v>
      </c>
      <c r="S174" s="169" t="s">
        <v>1219</v>
      </c>
      <c r="T174" s="169">
        <v>2010</v>
      </c>
      <c r="U174" s="173">
        <v>14</v>
      </c>
      <c r="V174" s="173">
        <v>9.75</v>
      </c>
      <c r="W174" s="174">
        <v>40269</v>
      </c>
    </row>
    <row r="175" spans="1:23" x14ac:dyDescent="0.2">
      <c r="A175" s="171">
        <v>14205</v>
      </c>
      <c r="B175" s="172" t="s">
        <v>1236</v>
      </c>
      <c r="C175" s="172" t="s">
        <v>1216</v>
      </c>
      <c r="D175" s="172" t="s">
        <v>1225</v>
      </c>
      <c r="E175" s="173">
        <v>34.5</v>
      </c>
      <c r="F175" s="173">
        <v>4</v>
      </c>
      <c r="G175" s="173">
        <v>0</v>
      </c>
      <c r="H175" s="173">
        <v>0</v>
      </c>
      <c r="I175" s="173">
        <v>0</v>
      </c>
      <c r="J175" s="173">
        <v>0</v>
      </c>
      <c r="K175" s="173">
        <v>0</v>
      </c>
      <c r="L175" s="173">
        <v>0</v>
      </c>
      <c r="M175" s="173">
        <v>0</v>
      </c>
      <c r="N175" s="173">
        <v>0</v>
      </c>
      <c r="O175" s="173">
        <v>0</v>
      </c>
      <c r="P175" s="173">
        <v>0</v>
      </c>
      <c r="Q175" s="173">
        <v>0</v>
      </c>
      <c r="R175" s="173">
        <v>0</v>
      </c>
      <c r="S175" s="169" t="s">
        <v>1219</v>
      </c>
      <c r="T175" s="169">
        <v>2010</v>
      </c>
      <c r="U175" s="173">
        <v>14</v>
      </c>
      <c r="V175" s="173">
        <v>9.75</v>
      </c>
      <c r="W175" s="174">
        <v>40299</v>
      </c>
    </row>
    <row r="176" spans="1:23" x14ac:dyDescent="0.2">
      <c r="A176" s="171">
        <v>14205</v>
      </c>
      <c r="B176" s="172" t="s">
        <v>1236</v>
      </c>
      <c r="C176" s="172" t="s">
        <v>1216</v>
      </c>
      <c r="D176" s="172" t="s">
        <v>1225</v>
      </c>
      <c r="E176" s="173">
        <v>34.5</v>
      </c>
      <c r="F176" s="173">
        <v>4</v>
      </c>
      <c r="G176" s="173">
        <v>0</v>
      </c>
      <c r="H176" s="173">
        <v>0</v>
      </c>
      <c r="I176" s="173">
        <v>0</v>
      </c>
      <c r="J176" s="173">
        <v>0</v>
      </c>
      <c r="K176" s="173">
        <v>0</v>
      </c>
      <c r="L176" s="173">
        <v>0</v>
      </c>
      <c r="M176" s="173">
        <v>0</v>
      </c>
      <c r="N176" s="173">
        <v>0</v>
      </c>
      <c r="O176" s="173">
        <v>0</v>
      </c>
      <c r="P176" s="173">
        <v>0</v>
      </c>
      <c r="Q176" s="173">
        <v>0</v>
      </c>
      <c r="R176" s="173">
        <v>0</v>
      </c>
      <c r="S176" s="169" t="s">
        <v>1219</v>
      </c>
      <c r="T176" s="169">
        <v>2010</v>
      </c>
      <c r="U176" s="173">
        <v>14</v>
      </c>
      <c r="V176" s="173">
        <v>9.75</v>
      </c>
      <c r="W176" s="174">
        <v>40330</v>
      </c>
    </row>
    <row r="177" spans="1:23" x14ac:dyDescent="0.2">
      <c r="A177" s="171">
        <v>14205</v>
      </c>
      <c r="B177" s="172" t="s">
        <v>1236</v>
      </c>
      <c r="C177" s="172" t="s">
        <v>1216</v>
      </c>
      <c r="D177" s="172" t="s">
        <v>1225</v>
      </c>
      <c r="E177" s="173">
        <v>34.5</v>
      </c>
      <c r="F177" s="173">
        <v>4</v>
      </c>
      <c r="G177" s="173">
        <v>0</v>
      </c>
      <c r="H177" s="173">
        <v>0</v>
      </c>
      <c r="I177" s="173">
        <v>0</v>
      </c>
      <c r="J177" s="173">
        <v>0</v>
      </c>
      <c r="K177" s="173">
        <v>0</v>
      </c>
      <c r="L177" s="173">
        <v>0</v>
      </c>
      <c r="M177" s="173">
        <v>0</v>
      </c>
      <c r="N177" s="173">
        <v>0</v>
      </c>
      <c r="O177" s="173">
        <v>0</v>
      </c>
      <c r="P177" s="173">
        <v>0</v>
      </c>
      <c r="Q177" s="173">
        <v>0</v>
      </c>
      <c r="R177" s="173">
        <v>0</v>
      </c>
      <c r="S177" s="169" t="s">
        <v>1220</v>
      </c>
      <c r="T177" s="169">
        <v>2010</v>
      </c>
      <c r="U177" s="173">
        <v>14</v>
      </c>
      <c r="V177" s="173">
        <v>9.75</v>
      </c>
      <c r="W177" s="174">
        <v>40360</v>
      </c>
    </row>
    <row r="178" spans="1:23" x14ac:dyDescent="0.2">
      <c r="A178" s="171">
        <v>14205</v>
      </c>
      <c r="B178" s="172" t="s">
        <v>1236</v>
      </c>
      <c r="C178" s="172" t="s">
        <v>1216</v>
      </c>
      <c r="D178" s="172" t="s">
        <v>1225</v>
      </c>
      <c r="E178" s="173">
        <v>34.5</v>
      </c>
      <c r="F178" s="173">
        <v>4</v>
      </c>
      <c r="G178" s="173">
        <v>0</v>
      </c>
      <c r="H178" s="173">
        <v>0</v>
      </c>
      <c r="I178" s="173">
        <v>0</v>
      </c>
      <c r="J178" s="173">
        <v>0</v>
      </c>
      <c r="K178" s="173">
        <v>0</v>
      </c>
      <c r="L178" s="173">
        <v>0</v>
      </c>
      <c r="M178" s="173">
        <v>0</v>
      </c>
      <c r="N178" s="173">
        <v>0</v>
      </c>
      <c r="O178" s="173">
        <v>0</v>
      </c>
      <c r="P178" s="173">
        <v>0</v>
      </c>
      <c r="Q178" s="173">
        <v>0</v>
      </c>
      <c r="R178" s="173">
        <v>0</v>
      </c>
      <c r="S178" s="169" t="s">
        <v>1220</v>
      </c>
      <c r="T178" s="169">
        <v>2010</v>
      </c>
      <c r="U178" s="173">
        <v>14</v>
      </c>
      <c r="V178" s="173">
        <v>9.75</v>
      </c>
      <c r="W178" s="174">
        <v>40391</v>
      </c>
    </row>
    <row r="179" spans="1:23" x14ac:dyDescent="0.2">
      <c r="A179" s="171">
        <v>14205</v>
      </c>
      <c r="B179" s="172" t="s">
        <v>1236</v>
      </c>
      <c r="C179" s="172" t="s">
        <v>1216</v>
      </c>
      <c r="D179" s="172" t="s">
        <v>1225</v>
      </c>
      <c r="E179" s="173">
        <v>34.5</v>
      </c>
      <c r="F179" s="173">
        <v>4</v>
      </c>
      <c r="G179" s="173">
        <v>0</v>
      </c>
      <c r="H179" s="173">
        <v>0</v>
      </c>
      <c r="I179" s="173">
        <v>0</v>
      </c>
      <c r="J179" s="173">
        <v>0</v>
      </c>
      <c r="K179" s="173">
        <v>0</v>
      </c>
      <c r="L179" s="173">
        <v>0</v>
      </c>
      <c r="M179" s="173">
        <v>0</v>
      </c>
      <c r="N179" s="173">
        <v>0</v>
      </c>
      <c r="O179" s="173">
        <v>0</v>
      </c>
      <c r="P179" s="173">
        <v>0</v>
      </c>
      <c r="Q179" s="173">
        <v>0</v>
      </c>
      <c r="R179" s="173">
        <v>0</v>
      </c>
      <c r="S179" s="169" t="s">
        <v>1220</v>
      </c>
      <c r="T179" s="169">
        <v>2010</v>
      </c>
      <c r="U179" s="173">
        <v>14</v>
      </c>
      <c r="V179" s="173">
        <v>9.75</v>
      </c>
      <c r="W179" s="174">
        <v>40422</v>
      </c>
    </row>
    <row r="180" spans="1:23" x14ac:dyDescent="0.2">
      <c r="A180" s="171">
        <v>14205</v>
      </c>
      <c r="B180" s="172" t="s">
        <v>1236</v>
      </c>
      <c r="C180" s="172" t="s">
        <v>1216</v>
      </c>
      <c r="D180" s="172" t="s">
        <v>1225</v>
      </c>
      <c r="E180" s="173">
        <v>34.5</v>
      </c>
      <c r="F180" s="173">
        <v>4</v>
      </c>
      <c r="G180" s="173">
        <v>0</v>
      </c>
      <c r="H180" s="173">
        <v>0</v>
      </c>
      <c r="I180" s="173">
        <v>0</v>
      </c>
      <c r="J180" s="173">
        <v>0</v>
      </c>
      <c r="K180" s="173">
        <v>0</v>
      </c>
      <c r="L180" s="173">
        <v>0</v>
      </c>
      <c r="M180" s="173">
        <v>0</v>
      </c>
      <c r="N180" s="173">
        <v>0</v>
      </c>
      <c r="O180" s="173">
        <v>0</v>
      </c>
      <c r="P180" s="173">
        <v>0</v>
      </c>
      <c r="Q180" s="173">
        <v>0</v>
      </c>
      <c r="R180" s="173">
        <v>0</v>
      </c>
      <c r="S180" s="169" t="s">
        <v>1221</v>
      </c>
      <c r="T180" s="169">
        <v>2010</v>
      </c>
      <c r="U180" s="173">
        <v>16</v>
      </c>
      <c r="V180" s="173">
        <v>9.75</v>
      </c>
      <c r="W180" s="174">
        <v>40452</v>
      </c>
    </row>
    <row r="181" spans="1:23" x14ac:dyDescent="0.2">
      <c r="A181" s="171">
        <v>14205</v>
      </c>
      <c r="B181" s="172" t="s">
        <v>1236</v>
      </c>
      <c r="C181" s="172" t="s">
        <v>1216</v>
      </c>
      <c r="D181" s="172" t="s">
        <v>1225</v>
      </c>
      <c r="E181" s="173">
        <v>34.5</v>
      </c>
      <c r="F181" s="173">
        <v>4</v>
      </c>
      <c r="G181" s="173">
        <v>0</v>
      </c>
      <c r="H181" s="173">
        <v>0</v>
      </c>
      <c r="I181" s="173">
        <v>0</v>
      </c>
      <c r="J181" s="173">
        <v>0</v>
      </c>
      <c r="K181" s="173">
        <v>0</v>
      </c>
      <c r="L181" s="173">
        <v>0</v>
      </c>
      <c r="M181" s="173">
        <v>0</v>
      </c>
      <c r="N181" s="173">
        <v>0</v>
      </c>
      <c r="O181" s="173">
        <v>0</v>
      </c>
      <c r="P181" s="173">
        <v>0</v>
      </c>
      <c r="Q181" s="173">
        <v>0</v>
      </c>
      <c r="R181" s="173">
        <v>0</v>
      </c>
      <c r="S181" s="169" t="s">
        <v>1221</v>
      </c>
      <c r="T181" s="169">
        <v>2010</v>
      </c>
      <c r="U181" s="173">
        <v>16</v>
      </c>
      <c r="V181" s="173">
        <v>9.75</v>
      </c>
      <c r="W181" s="174">
        <v>40483</v>
      </c>
    </row>
    <row r="182" spans="1:23" x14ac:dyDescent="0.2">
      <c r="A182" s="171">
        <v>13102</v>
      </c>
      <c r="B182" s="172" t="s">
        <v>1237</v>
      </c>
      <c r="C182" s="172" t="s">
        <v>1216</v>
      </c>
      <c r="D182" s="172" t="s">
        <v>1233</v>
      </c>
      <c r="E182" s="173">
        <v>34.5</v>
      </c>
      <c r="F182" s="173">
        <v>3</v>
      </c>
      <c r="G182" s="173">
        <v>0</v>
      </c>
      <c r="H182" s="173">
        <v>0</v>
      </c>
      <c r="I182" s="173">
        <v>2</v>
      </c>
      <c r="J182" s="173">
        <v>660</v>
      </c>
      <c r="K182" s="173">
        <v>0</v>
      </c>
      <c r="L182" s="173">
        <v>0</v>
      </c>
      <c r="M182" s="173">
        <v>0</v>
      </c>
      <c r="N182" s="173">
        <v>0</v>
      </c>
      <c r="O182" s="173">
        <v>3</v>
      </c>
      <c r="P182" s="173">
        <v>1.2333333333333334</v>
      </c>
      <c r="Q182" s="173">
        <v>3</v>
      </c>
      <c r="R182" s="173">
        <v>1.2333333333333334</v>
      </c>
      <c r="S182" s="169" t="s">
        <v>1218</v>
      </c>
      <c r="T182" s="169">
        <v>2010</v>
      </c>
      <c r="U182" s="173">
        <v>12</v>
      </c>
      <c r="V182" s="173">
        <v>7.25</v>
      </c>
      <c r="W182" s="174">
        <v>40179</v>
      </c>
    </row>
    <row r="183" spans="1:23" x14ac:dyDescent="0.2">
      <c r="A183" s="171">
        <v>13102</v>
      </c>
      <c r="B183" s="172" t="s">
        <v>1237</v>
      </c>
      <c r="C183" s="172" t="s">
        <v>1216</v>
      </c>
      <c r="D183" s="172" t="s">
        <v>1233</v>
      </c>
      <c r="E183" s="173">
        <v>34.5</v>
      </c>
      <c r="F183" s="173">
        <v>3</v>
      </c>
      <c r="G183" s="173">
        <v>0</v>
      </c>
      <c r="H183" s="173">
        <v>0</v>
      </c>
      <c r="I183" s="173">
        <v>8</v>
      </c>
      <c r="J183" s="173">
        <v>32270</v>
      </c>
      <c r="K183" s="173">
        <v>0</v>
      </c>
      <c r="L183" s="173">
        <v>0</v>
      </c>
      <c r="M183" s="173">
        <v>0</v>
      </c>
      <c r="N183" s="173">
        <v>0</v>
      </c>
      <c r="O183" s="173">
        <v>1</v>
      </c>
      <c r="P183" s="173">
        <v>0.05</v>
      </c>
      <c r="Q183" s="173">
        <v>1</v>
      </c>
      <c r="R183" s="173">
        <v>0.05</v>
      </c>
      <c r="S183" s="169" t="s">
        <v>1218</v>
      </c>
      <c r="T183" s="169">
        <v>2010</v>
      </c>
      <c r="U183" s="173">
        <v>12</v>
      </c>
      <c r="V183" s="173">
        <v>7.25</v>
      </c>
      <c r="W183" s="174">
        <v>40210</v>
      </c>
    </row>
    <row r="184" spans="1:23" x14ac:dyDescent="0.2">
      <c r="A184" s="171">
        <v>13102</v>
      </c>
      <c r="B184" s="172" t="s">
        <v>1237</v>
      </c>
      <c r="C184" s="172" t="s">
        <v>1216</v>
      </c>
      <c r="D184" s="172" t="s">
        <v>1233</v>
      </c>
      <c r="E184" s="173">
        <v>34.5</v>
      </c>
      <c r="F184" s="173">
        <v>3</v>
      </c>
      <c r="G184" s="173">
        <v>0</v>
      </c>
      <c r="H184" s="173">
        <v>0</v>
      </c>
      <c r="I184" s="173">
        <v>2</v>
      </c>
      <c r="J184" s="173">
        <v>16</v>
      </c>
      <c r="K184" s="173">
        <v>0</v>
      </c>
      <c r="L184" s="173">
        <v>0</v>
      </c>
      <c r="M184" s="173">
        <v>0</v>
      </c>
      <c r="N184" s="173">
        <v>0</v>
      </c>
      <c r="O184" s="173">
        <v>3</v>
      </c>
      <c r="P184" s="173">
        <v>0.2</v>
      </c>
      <c r="Q184" s="173">
        <v>3</v>
      </c>
      <c r="R184" s="173">
        <v>0.2</v>
      </c>
      <c r="S184" s="169" t="s">
        <v>1218</v>
      </c>
      <c r="T184" s="169">
        <v>2010</v>
      </c>
      <c r="U184" s="173">
        <v>12</v>
      </c>
      <c r="V184" s="173">
        <v>7.25</v>
      </c>
      <c r="W184" s="174">
        <v>40238</v>
      </c>
    </row>
    <row r="185" spans="1:23" x14ac:dyDescent="0.2">
      <c r="A185" s="171">
        <v>13102</v>
      </c>
      <c r="B185" s="172" t="s">
        <v>1237</v>
      </c>
      <c r="C185" s="172" t="s">
        <v>1216</v>
      </c>
      <c r="D185" s="172" t="s">
        <v>1233</v>
      </c>
      <c r="E185" s="173">
        <v>34.5</v>
      </c>
      <c r="F185" s="173">
        <v>3</v>
      </c>
      <c r="G185" s="173">
        <v>0</v>
      </c>
      <c r="H185" s="173">
        <v>0</v>
      </c>
      <c r="I185" s="173">
        <v>6</v>
      </c>
      <c r="J185" s="173">
        <v>41592</v>
      </c>
      <c r="K185" s="173">
        <v>0</v>
      </c>
      <c r="L185" s="173">
        <v>0</v>
      </c>
      <c r="M185" s="173">
        <v>0</v>
      </c>
      <c r="N185" s="173">
        <v>0</v>
      </c>
      <c r="O185" s="173">
        <v>4</v>
      </c>
      <c r="P185" s="173">
        <v>1.2833333333333334</v>
      </c>
      <c r="Q185" s="173">
        <v>4</v>
      </c>
      <c r="R185" s="173">
        <v>1.2833333333333334</v>
      </c>
      <c r="S185" s="169" t="s">
        <v>1219</v>
      </c>
      <c r="T185" s="169">
        <v>2010</v>
      </c>
      <c r="U185" s="173">
        <v>12</v>
      </c>
      <c r="V185" s="173">
        <v>7.25</v>
      </c>
      <c r="W185" s="174">
        <v>40269</v>
      </c>
    </row>
    <row r="186" spans="1:23" x14ac:dyDescent="0.2">
      <c r="A186" s="171">
        <v>13102</v>
      </c>
      <c r="B186" s="172" t="s">
        <v>1237</v>
      </c>
      <c r="C186" s="172" t="s">
        <v>1216</v>
      </c>
      <c r="D186" s="172" t="s">
        <v>1233</v>
      </c>
      <c r="E186" s="173">
        <v>34.5</v>
      </c>
      <c r="F186" s="173">
        <v>3</v>
      </c>
      <c r="G186" s="173">
        <v>0</v>
      </c>
      <c r="H186" s="173">
        <v>0</v>
      </c>
      <c r="I186" s="173">
        <v>7</v>
      </c>
      <c r="J186" s="173">
        <v>54</v>
      </c>
      <c r="K186" s="173">
        <v>0</v>
      </c>
      <c r="L186" s="173">
        <v>0</v>
      </c>
      <c r="M186" s="173">
        <v>0</v>
      </c>
      <c r="N186" s="173">
        <v>0</v>
      </c>
      <c r="O186" s="173">
        <v>4</v>
      </c>
      <c r="P186" s="173">
        <v>0.18333333333333332</v>
      </c>
      <c r="Q186" s="173">
        <v>4</v>
      </c>
      <c r="R186" s="173">
        <v>0.18333333333333332</v>
      </c>
      <c r="S186" s="169" t="s">
        <v>1219</v>
      </c>
      <c r="T186" s="169">
        <v>2010</v>
      </c>
      <c r="U186" s="173">
        <v>12</v>
      </c>
      <c r="V186" s="173">
        <v>7.25</v>
      </c>
      <c r="W186" s="174">
        <v>40299</v>
      </c>
    </row>
    <row r="187" spans="1:23" x14ac:dyDescent="0.2">
      <c r="A187" s="171">
        <v>13102</v>
      </c>
      <c r="B187" s="172" t="s">
        <v>1237</v>
      </c>
      <c r="C187" s="172" t="s">
        <v>1216</v>
      </c>
      <c r="D187" s="172" t="s">
        <v>1233</v>
      </c>
      <c r="E187" s="173">
        <v>34.5</v>
      </c>
      <c r="F187" s="173">
        <v>3</v>
      </c>
      <c r="G187" s="173">
        <v>0</v>
      </c>
      <c r="H187" s="173">
        <v>0</v>
      </c>
      <c r="I187" s="173">
        <v>3</v>
      </c>
      <c r="J187" s="173">
        <v>26</v>
      </c>
      <c r="K187" s="173">
        <v>0</v>
      </c>
      <c r="L187" s="173">
        <v>0</v>
      </c>
      <c r="M187" s="173">
        <v>0</v>
      </c>
      <c r="N187" s="173">
        <v>0</v>
      </c>
      <c r="O187" s="173">
        <v>1</v>
      </c>
      <c r="P187" s="173">
        <v>3.3333333333333333E-2</v>
      </c>
      <c r="Q187" s="173">
        <v>1</v>
      </c>
      <c r="R187" s="173">
        <v>3.3333333333333333E-2</v>
      </c>
      <c r="S187" s="169" t="s">
        <v>1219</v>
      </c>
      <c r="T187" s="169">
        <v>2010</v>
      </c>
      <c r="U187" s="173">
        <v>12</v>
      </c>
      <c r="V187" s="173">
        <v>7.25</v>
      </c>
      <c r="W187" s="174">
        <v>40330</v>
      </c>
    </row>
    <row r="188" spans="1:23" x14ac:dyDescent="0.2">
      <c r="A188" s="171">
        <v>13102</v>
      </c>
      <c r="B188" s="172" t="s">
        <v>1237</v>
      </c>
      <c r="C188" s="172" t="s">
        <v>1216</v>
      </c>
      <c r="D188" s="172" t="s">
        <v>1233</v>
      </c>
      <c r="E188" s="173">
        <v>34.5</v>
      </c>
      <c r="F188" s="173">
        <v>3</v>
      </c>
      <c r="G188" s="173">
        <v>0</v>
      </c>
      <c r="H188" s="173">
        <v>0</v>
      </c>
      <c r="I188" s="173">
        <v>10</v>
      </c>
      <c r="J188" s="173">
        <v>100</v>
      </c>
      <c r="K188" s="173">
        <v>0</v>
      </c>
      <c r="L188" s="173">
        <v>0</v>
      </c>
      <c r="M188" s="173">
        <v>0</v>
      </c>
      <c r="N188" s="173">
        <v>0</v>
      </c>
      <c r="O188" s="173">
        <v>4</v>
      </c>
      <c r="P188" s="173">
        <v>0.36666666666666664</v>
      </c>
      <c r="Q188" s="173">
        <v>4</v>
      </c>
      <c r="R188" s="173">
        <v>0.36666666666666664</v>
      </c>
      <c r="S188" s="169" t="s">
        <v>1220</v>
      </c>
      <c r="T188" s="169">
        <v>2010</v>
      </c>
      <c r="U188" s="173">
        <v>12</v>
      </c>
      <c r="V188" s="173">
        <v>7.25</v>
      </c>
      <c r="W188" s="174">
        <v>40360</v>
      </c>
    </row>
    <row r="189" spans="1:23" x14ac:dyDescent="0.2">
      <c r="A189" s="171">
        <v>13102</v>
      </c>
      <c r="B189" s="172" t="s">
        <v>1237</v>
      </c>
      <c r="C189" s="172" t="s">
        <v>1216</v>
      </c>
      <c r="D189" s="172" t="s">
        <v>1233</v>
      </c>
      <c r="E189" s="173">
        <v>34.5</v>
      </c>
      <c r="F189" s="173">
        <v>3</v>
      </c>
      <c r="G189" s="173">
        <v>0</v>
      </c>
      <c r="H189" s="173">
        <v>0</v>
      </c>
      <c r="I189" s="173">
        <v>7</v>
      </c>
      <c r="J189" s="173">
        <v>275</v>
      </c>
      <c r="K189" s="173">
        <v>0</v>
      </c>
      <c r="L189" s="173">
        <v>0</v>
      </c>
      <c r="M189" s="173">
        <v>3</v>
      </c>
      <c r="N189" s="173">
        <v>1.6333333333333333</v>
      </c>
      <c r="O189" s="173">
        <v>3</v>
      </c>
      <c r="P189" s="173">
        <v>37.133333333333333</v>
      </c>
      <c r="Q189" s="173">
        <v>6</v>
      </c>
      <c r="R189" s="173">
        <v>38.766666666666666</v>
      </c>
      <c r="S189" s="169" t="s">
        <v>1220</v>
      </c>
      <c r="T189" s="169">
        <v>2010</v>
      </c>
      <c r="U189" s="173">
        <v>12</v>
      </c>
      <c r="V189" s="173">
        <v>7.25</v>
      </c>
      <c r="W189" s="174">
        <v>40391</v>
      </c>
    </row>
    <row r="190" spans="1:23" x14ac:dyDescent="0.2">
      <c r="A190" s="171">
        <v>13102</v>
      </c>
      <c r="B190" s="172" t="s">
        <v>1237</v>
      </c>
      <c r="C190" s="172" t="s">
        <v>1216</v>
      </c>
      <c r="D190" s="172" t="s">
        <v>1233</v>
      </c>
      <c r="E190" s="173">
        <v>34.5</v>
      </c>
      <c r="F190" s="173">
        <v>3</v>
      </c>
      <c r="G190" s="173">
        <v>0</v>
      </c>
      <c r="H190" s="173">
        <v>0</v>
      </c>
      <c r="I190" s="173">
        <v>7</v>
      </c>
      <c r="J190" s="173">
        <v>22</v>
      </c>
      <c r="K190" s="173">
        <v>0</v>
      </c>
      <c r="L190" s="173">
        <v>0</v>
      </c>
      <c r="M190" s="173">
        <v>0</v>
      </c>
      <c r="N190" s="173">
        <v>0</v>
      </c>
      <c r="O190" s="173">
        <v>4</v>
      </c>
      <c r="P190" s="173">
        <v>0.28333333333333333</v>
      </c>
      <c r="Q190" s="173">
        <v>4</v>
      </c>
      <c r="R190" s="173">
        <v>0.28333333333333333</v>
      </c>
      <c r="S190" s="169" t="s">
        <v>1220</v>
      </c>
      <c r="T190" s="169">
        <v>2010</v>
      </c>
      <c r="U190" s="173">
        <v>12</v>
      </c>
      <c r="V190" s="173">
        <v>7.25</v>
      </c>
      <c r="W190" s="174">
        <v>40422</v>
      </c>
    </row>
    <row r="191" spans="1:23" x14ac:dyDescent="0.2">
      <c r="A191" s="171">
        <v>13102</v>
      </c>
      <c r="B191" s="172" t="s">
        <v>1237</v>
      </c>
      <c r="C191" s="172" t="s">
        <v>1216</v>
      </c>
      <c r="D191" s="172" t="s">
        <v>1233</v>
      </c>
      <c r="E191" s="173">
        <v>34.5</v>
      </c>
      <c r="F191" s="173">
        <v>3</v>
      </c>
      <c r="G191" s="173">
        <v>0</v>
      </c>
      <c r="H191" s="173">
        <v>0</v>
      </c>
      <c r="I191" s="173">
        <v>0</v>
      </c>
      <c r="J191" s="173">
        <v>0</v>
      </c>
      <c r="K191" s="173">
        <v>0</v>
      </c>
      <c r="L191" s="173">
        <v>0</v>
      </c>
      <c r="M191" s="173">
        <v>0</v>
      </c>
      <c r="N191" s="173">
        <v>0</v>
      </c>
      <c r="O191" s="173">
        <v>0</v>
      </c>
      <c r="P191" s="173">
        <v>0</v>
      </c>
      <c r="Q191" s="173">
        <v>0</v>
      </c>
      <c r="R191" s="173">
        <v>0</v>
      </c>
      <c r="S191" s="169" t="s">
        <v>1221</v>
      </c>
      <c r="T191" s="169">
        <v>2010</v>
      </c>
      <c r="U191" s="173">
        <v>15</v>
      </c>
      <c r="V191" s="173">
        <v>7.25</v>
      </c>
      <c r="W191" s="174">
        <v>40452</v>
      </c>
    </row>
    <row r="192" spans="1:23" x14ac:dyDescent="0.2">
      <c r="A192" s="171">
        <v>13102</v>
      </c>
      <c r="B192" s="172" t="s">
        <v>1237</v>
      </c>
      <c r="C192" s="172" t="s">
        <v>1216</v>
      </c>
      <c r="D192" s="172" t="s">
        <v>1233</v>
      </c>
      <c r="E192" s="173">
        <v>34.5</v>
      </c>
      <c r="F192" s="173">
        <v>3</v>
      </c>
      <c r="G192" s="173">
        <v>1</v>
      </c>
      <c r="H192" s="173">
        <v>1</v>
      </c>
      <c r="I192" s="173">
        <v>0</v>
      </c>
      <c r="J192" s="173">
        <v>0</v>
      </c>
      <c r="K192" s="173">
        <v>0</v>
      </c>
      <c r="L192" s="173">
        <v>0</v>
      </c>
      <c r="M192" s="173">
        <v>0</v>
      </c>
      <c r="N192" s="173">
        <v>0</v>
      </c>
      <c r="O192" s="173">
        <v>11</v>
      </c>
      <c r="P192" s="173">
        <v>10.766666666666667</v>
      </c>
      <c r="Q192" s="173">
        <v>11</v>
      </c>
      <c r="R192" s="173">
        <v>10.766666666666667</v>
      </c>
      <c r="S192" s="169" t="s">
        <v>1221</v>
      </c>
      <c r="T192" s="169">
        <v>2010</v>
      </c>
      <c r="U192" s="173">
        <v>15</v>
      </c>
      <c r="V192" s="173">
        <v>7.25</v>
      </c>
      <c r="W192" s="174">
        <v>40483</v>
      </c>
    </row>
    <row r="193" spans="1:23" x14ac:dyDescent="0.2">
      <c r="A193" s="171">
        <v>13102</v>
      </c>
      <c r="B193" s="172" t="s">
        <v>1237</v>
      </c>
      <c r="C193" s="172" t="s">
        <v>1216</v>
      </c>
      <c r="D193" s="172" t="s">
        <v>1233</v>
      </c>
      <c r="E193" s="173">
        <v>34.5</v>
      </c>
      <c r="F193" s="173">
        <v>3</v>
      </c>
      <c r="G193" s="173">
        <v>1</v>
      </c>
      <c r="H193" s="173">
        <v>1</v>
      </c>
      <c r="I193" s="173">
        <v>0</v>
      </c>
      <c r="J193" s="173">
        <v>0</v>
      </c>
      <c r="K193" s="173">
        <v>0</v>
      </c>
      <c r="L193" s="173">
        <v>0</v>
      </c>
      <c r="M193" s="173">
        <v>2</v>
      </c>
      <c r="N193" s="173">
        <v>5.0666666666666664</v>
      </c>
      <c r="O193" s="173">
        <v>7</v>
      </c>
      <c r="P193" s="173">
        <v>1.6166666666666667</v>
      </c>
      <c r="Q193" s="173">
        <v>9</v>
      </c>
      <c r="R193" s="173">
        <v>6.6833333333333336</v>
      </c>
      <c r="S193" s="169" t="s">
        <v>1221</v>
      </c>
      <c r="T193" s="169">
        <v>2010</v>
      </c>
      <c r="U193" s="173">
        <v>15</v>
      </c>
      <c r="V193" s="173">
        <v>7.25</v>
      </c>
      <c r="W193" s="174">
        <v>40513</v>
      </c>
    </row>
    <row r="194" spans="1:23" x14ac:dyDescent="0.2">
      <c r="A194" s="171">
        <v>13102</v>
      </c>
      <c r="B194" s="172" t="s">
        <v>1237</v>
      </c>
      <c r="C194" s="172" t="s">
        <v>1216</v>
      </c>
      <c r="D194" s="172" t="s">
        <v>1233</v>
      </c>
      <c r="E194" s="173">
        <v>34.5</v>
      </c>
      <c r="F194" s="173">
        <v>3</v>
      </c>
      <c r="G194" s="173">
        <v>11</v>
      </c>
      <c r="H194" s="173">
        <v>11</v>
      </c>
      <c r="I194" s="173">
        <v>0</v>
      </c>
      <c r="J194" s="173">
        <v>0</v>
      </c>
      <c r="K194" s="173">
        <v>0</v>
      </c>
      <c r="L194" s="173">
        <v>0</v>
      </c>
      <c r="M194" s="173">
        <v>0</v>
      </c>
      <c r="N194" s="173">
        <v>0</v>
      </c>
      <c r="O194" s="173">
        <v>0</v>
      </c>
      <c r="P194" s="173">
        <v>0</v>
      </c>
      <c r="Q194" s="173">
        <v>0</v>
      </c>
      <c r="R194" s="173">
        <v>0</v>
      </c>
      <c r="S194" s="169" t="s">
        <v>1218</v>
      </c>
      <c r="T194" s="169">
        <v>2011</v>
      </c>
      <c r="U194" s="173">
        <v>14</v>
      </c>
      <c r="V194" s="173">
        <v>10</v>
      </c>
      <c r="W194" s="174">
        <v>40544</v>
      </c>
    </row>
    <row r="195" spans="1:23" x14ac:dyDescent="0.2">
      <c r="A195" s="171">
        <v>13102</v>
      </c>
      <c r="B195" s="172" t="s">
        <v>1237</v>
      </c>
      <c r="C195" s="172" t="s">
        <v>1216</v>
      </c>
      <c r="D195" s="172" t="s">
        <v>1233</v>
      </c>
      <c r="E195" s="173">
        <v>34.5</v>
      </c>
      <c r="F195" s="173">
        <v>3</v>
      </c>
      <c r="G195" s="173">
        <v>0</v>
      </c>
      <c r="H195" s="173">
        <v>0</v>
      </c>
      <c r="I195" s="173">
        <v>0</v>
      </c>
      <c r="J195" s="173">
        <v>0</v>
      </c>
      <c r="K195" s="173">
        <v>0</v>
      </c>
      <c r="L195" s="173">
        <v>0</v>
      </c>
      <c r="M195" s="173">
        <v>1</v>
      </c>
      <c r="N195" s="173">
        <v>0.1</v>
      </c>
      <c r="O195" s="173">
        <v>8</v>
      </c>
      <c r="P195" s="173">
        <v>0.73333333333333328</v>
      </c>
      <c r="Q195" s="173">
        <v>9</v>
      </c>
      <c r="R195" s="173">
        <v>0.83333333333333337</v>
      </c>
      <c r="S195" s="169" t="s">
        <v>1218</v>
      </c>
      <c r="T195" s="169">
        <v>2011</v>
      </c>
      <c r="U195" s="173">
        <v>14</v>
      </c>
      <c r="V195" s="173">
        <v>10</v>
      </c>
      <c r="W195" s="174">
        <v>40575</v>
      </c>
    </row>
    <row r="196" spans="1:23" x14ac:dyDescent="0.2">
      <c r="A196" s="171">
        <v>13102</v>
      </c>
      <c r="B196" s="172" t="s">
        <v>1237</v>
      </c>
      <c r="C196" s="172" t="s">
        <v>1216</v>
      </c>
      <c r="D196" s="172" t="s">
        <v>1233</v>
      </c>
      <c r="E196" s="173">
        <v>34.5</v>
      </c>
      <c r="F196" s="173">
        <v>3</v>
      </c>
      <c r="G196" s="173">
        <v>0</v>
      </c>
      <c r="H196" s="173">
        <v>0</v>
      </c>
      <c r="I196" s="173">
        <v>2</v>
      </c>
      <c r="J196" s="173">
        <v>7</v>
      </c>
      <c r="K196" s="173">
        <v>0</v>
      </c>
      <c r="L196" s="173">
        <v>0</v>
      </c>
      <c r="M196" s="173">
        <v>0</v>
      </c>
      <c r="N196" s="173">
        <v>0</v>
      </c>
      <c r="O196" s="173">
        <v>3</v>
      </c>
      <c r="P196" s="173">
        <v>0.38333333333333336</v>
      </c>
      <c r="Q196" s="173">
        <v>3</v>
      </c>
      <c r="R196" s="173">
        <v>0.38333333333333336</v>
      </c>
      <c r="S196" s="169" t="s">
        <v>1218</v>
      </c>
      <c r="T196" s="169">
        <v>2011</v>
      </c>
      <c r="U196" s="173">
        <v>14</v>
      </c>
      <c r="V196" s="173">
        <v>10</v>
      </c>
      <c r="W196" s="174">
        <v>40603</v>
      </c>
    </row>
    <row r="197" spans="1:23" x14ac:dyDescent="0.2">
      <c r="A197" s="171">
        <v>13102</v>
      </c>
      <c r="B197" s="172" t="s">
        <v>1237</v>
      </c>
      <c r="C197" s="172" t="s">
        <v>1216</v>
      </c>
      <c r="D197" s="172" t="s">
        <v>1233</v>
      </c>
      <c r="E197" s="173">
        <v>34.5</v>
      </c>
      <c r="F197" s="173">
        <v>3</v>
      </c>
      <c r="G197" s="173">
        <v>1</v>
      </c>
      <c r="H197" s="173">
        <v>1</v>
      </c>
      <c r="I197" s="173">
        <v>0</v>
      </c>
      <c r="J197" s="173">
        <v>0</v>
      </c>
      <c r="K197" s="173">
        <v>0</v>
      </c>
      <c r="L197" s="173">
        <v>0</v>
      </c>
      <c r="M197" s="173">
        <v>0</v>
      </c>
      <c r="N197" s="173">
        <v>0</v>
      </c>
      <c r="O197" s="173">
        <v>20</v>
      </c>
      <c r="P197" s="173">
        <v>22.233333333333334</v>
      </c>
      <c r="Q197" s="173">
        <v>20</v>
      </c>
      <c r="R197" s="173">
        <v>22.233333333333334</v>
      </c>
      <c r="S197" s="169" t="s">
        <v>1219</v>
      </c>
      <c r="T197" s="169">
        <v>2011</v>
      </c>
      <c r="U197" s="173">
        <v>14</v>
      </c>
      <c r="V197" s="173">
        <v>8</v>
      </c>
      <c r="W197" s="174">
        <v>40634</v>
      </c>
    </row>
    <row r="198" spans="1:23" x14ac:dyDescent="0.2">
      <c r="A198" s="171">
        <v>13102</v>
      </c>
      <c r="B198" s="172" t="s">
        <v>1237</v>
      </c>
      <c r="C198" s="172" t="s">
        <v>1216</v>
      </c>
      <c r="D198" s="172" t="s">
        <v>1233</v>
      </c>
      <c r="E198" s="173">
        <v>34.5</v>
      </c>
      <c r="F198" s="173">
        <v>3</v>
      </c>
      <c r="G198" s="173">
        <v>2</v>
      </c>
      <c r="H198" s="173">
        <v>2</v>
      </c>
      <c r="I198" s="173">
        <v>0</v>
      </c>
      <c r="J198" s="173">
        <v>0</v>
      </c>
      <c r="K198" s="173">
        <v>1</v>
      </c>
      <c r="L198" s="173">
        <v>65</v>
      </c>
      <c r="M198" s="173">
        <v>0</v>
      </c>
      <c r="N198" s="173">
        <v>0</v>
      </c>
      <c r="O198" s="173">
        <v>5</v>
      </c>
      <c r="P198" s="173">
        <v>6.583333333333333</v>
      </c>
      <c r="Q198" s="173">
        <v>5</v>
      </c>
      <c r="R198" s="173">
        <v>6.583333333333333</v>
      </c>
      <c r="S198" s="169" t="s">
        <v>1219</v>
      </c>
      <c r="T198" s="169">
        <v>2011</v>
      </c>
      <c r="U198" s="173">
        <v>14</v>
      </c>
      <c r="V198" s="173">
        <v>8</v>
      </c>
      <c r="W198" s="174">
        <v>40664</v>
      </c>
    </row>
    <row r="199" spans="1:23" x14ac:dyDescent="0.2">
      <c r="A199" s="171">
        <v>13102</v>
      </c>
      <c r="B199" s="172" t="s">
        <v>1237</v>
      </c>
      <c r="C199" s="172" t="s">
        <v>1216</v>
      </c>
      <c r="D199" s="172" t="s">
        <v>1233</v>
      </c>
      <c r="E199" s="173">
        <v>34.5</v>
      </c>
      <c r="F199" s="173">
        <v>3</v>
      </c>
      <c r="G199" s="173">
        <v>1</v>
      </c>
      <c r="H199" s="173">
        <v>1</v>
      </c>
      <c r="I199" s="173">
        <v>0</v>
      </c>
      <c r="J199" s="173">
        <v>0</v>
      </c>
      <c r="K199" s="173">
        <v>1</v>
      </c>
      <c r="L199" s="173">
        <v>8</v>
      </c>
      <c r="M199" s="173">
        <v>0</v>
      </c>
      <c r="N199" s="173">
        <v>0</v>
      </c>
      <c r="O199" s="173">
        <v>6</v>
      </c>
      <c r="P199" s="173">
        <v>5.9333333333333336</v>
      </c>
      <c r="Q199" s="173">
        <v>6</v>
      </c>
      <c r="R199" s="173">
        <v>5.9333333333333336</v>
      </c>
      <c r="S199" s="169" t="s">
        <v>1219</v>
      </c>
      <c r="T199" s="169">
        <v>2011</v>
      </c>
      <c r="U199" s="173">
        <v>14</v>
      </c>
      <c r="V199" s="173">
        <v>8</v>
      </c>
      <c r="W199" s="174">
        <v>40695</v>
      </c>
    </row>
    <row r="200" spans="1:23" x14ac:dyDescent="0.2">
      <c r="A200" s="171">
        <v>13102</v>
      </c>
      <c r="B200" s="172" t="s">
        <v>1237</v>
      </c>
      <c r="C200" s="172" t="s">
        <v>1216</v>
      </c>
      <c r="D200" s="172" t="s">
        <v>1233</v>
      </c>
      <c r="E200" s="173">
        <v>34.5</v>
      </c>
      <c r="F200" s="173">
        <v>3</v>
      </c>
      <c r="G200" s="173">
        <v>3</v>
      </c>
      <c r="H200" s="173">
        <v>3</v>
      </c>
      <c r="I200" s="173">
        <v>0</v>
      </c>
      <c r="J200" s="173">
        <v>0</v>
      </c>
      <c r="K200" s="173">
        <v>0</v>
      </c>
      <c r="L200" s="173">
        <v>0</v>
      </c>
      <c r="M200" s="173">
        <v>0</v>
      </c>
      <c r="N200" s="173">
        <v>0</v>
      </c>
      <c r="O200" s="173">
        <v>7</v>
      </c>
      <c r="P200" s="173">
        <v>0.7</v>
      </c>
      <c r="Q200" s="173">
        <v>7</v>
      </c>
      <c r="R200" s="173">
        <v>0.7</v>
      </c>
      <c r="S200" s="169" t="s">
        <v>1220</v>
      </c>
      <c r="T200" s="169">
        <v>2011</v>
      </c>
      <c r="U200" s="173">
        <v>10</v>
      </c>
      <c r="V200" s="173">
        <v>4.5</v>
      </c>
      <c r="W200" s="174">
        <v>40725</v>
      </c>
    </row>
    <row r="201" spans="1:23" x14ac:dyDescent="0.2">
      <c r="A201" s="171">
        <v>13102</v>
      </c>
      <c r="B201" s="172" t="s">
        <v>1237</v>
      </c>
      <c r="C201" s="172" t="s">
        <v>1216</v>
      </c>
      <c r="D201" s="172" t="s">
        <v>1233</v>
      </c>
      <c r="E201" s="173">
        <v>34.5</v>
      </c>
      <c r="F201" s="173">
        <v>3</v>
      </c>
      <c r="G201" s="173">
        <v>2</v>
      </c>
      <c r="H201" s="173">
        <v>2</v>
      </c>
      <c r="I201" s="173">
        <v>0</v>
      </c>
      <c r="J201" s="173">
        <v>0</v>
      </c>
      <c r="K201" s="173">
        <v>0</v>
      </c>
      <c r="L201" s="173">
        <v>0</v>
      </c>
      <c r="M201" s="173">
        <v>0</v>
      </c>
      <c r="N201" s="173">
        <v>0</v>
      </c>
      <c r="O201" s="173">
        <v>3</v>
      </c>
      <c r="P201" s="173">
        <v>6.2333333333333334</v>
      </c>
      <c r="Q201" s="173">
        <v>3</v>
      </c>
      <c r="R201" s="173">
        <v>6.2333333333333334</v>
      </c>
      <c r="S201" s="169" t="s">
        <v>1220</v>
      </c>
      <c r="T201" s="169">
        <v>2011</v>
      </c>
      <c r="U201" s="173">
        <v>10</v>
      </c>
      <c r="V201" s="173">
        <v>4.5</v>
      </c>
      <c r="W201" s="174">
        <v>40756</v>
      </c>
    </row>
    <row r="202" spans="1:23" x14ac:dyDescent="0.2">
      <c r="A202" s="171">
        <v>13105</v>
      </c>
      <c r="B202" s="172" t="s">
        <v>1238</v>
      </c>
      <c r="C202" s="172" t="s">
        <v>1216</v>
      </c>
      <c r="D202" s="172" t="s">
        <v>1233</v>
      </c>
      <c r="E202" s="173">
        <v>34.5</v>
      </c>
      <c r="F202" s="173">
        <v>3</v>
      </c>
      <c r="G202" s="173">
        <v>0</v>
      </c>
      <c r="H202" s="173">
        <v>0</v>
      </c>
      <c r="I202" s="173">
        <v>2</v>
      </c>
      <c r="J202" s="173">
        <v>10</v>
      </c>
      <c r="K202" s="173">
        <v>0</v>
      </c>
      <c r="L202" s="173">
        <v>0</v>
      </c>
      <c r="M202" s="173">
        <v>0</v>
      </c>
      <c r="N202" s="173">
        <v>0</v>
      </c>
      <c r="O202" s="173">
        <v>1</v>
      </c>
      <c r="P202" s="173">
        <v>3.3333333333333333E-2</v>
      </c>
      <c r="Q202" s="173">
        <v>1</v>
      </c>
      <c r="R202" s="173">
        <v>3.3333333333333333E-2</v>
      </c>
      <c r="S202" s="169" t="s">
        <v>1218</v>
      </c>
      <c r="T202" s="169">
        <v>2010</v>
      </c>
      <c r="U202" s="173">
        <v>12</v>
      </c>
      <c r="V202" s="173">
        <v>7.25</v>
      </c>
      <c r="W202" s="174">
        <v>40179</v>
      </c>
    </row>
    <row r="203" spans="1:23" x14ac:dyDescent="0.2">
      <c r="A203" s="171">
        <v>13105</v>
      </c>
      <c r="B203" s="172" t="s">
        <v>1238</v>
      </c>
      <c r="C203" s="172" t="s">
        <v>1216</v>
      </c>
      <c r="D203" s="172" t="s">
        <v>1233</v>
      </c>
      <c r="E203" s="173">
        <v>34.5</v>
      </c>
      <c r="F203" s="173">
        <v>3</v>
      </c>
      <c r="G203" s="173">
        <v>1</v>
      </c>
      <c r="H203" s="173">
        <v>1</v>
      </c>
      <c r="I203" s="173">
        <v>2</v>
      </c>
      <c r="J203" s="173">
        <v>691</v>
      </c>
      <c r="K203" s="173">
        <v>0</v>
      </c>
      <c r="L203" s="173">
        <v>0</v>
      </c>
      <c r="M203" s="173">
        <v>0</v>
      </c>
      <c r="N203" s="173">
        <v>0</v>
      </c>
      <c r="O203" s="173">
        <v>1</v>
      </c>
      <c r="P203" s="173">
        <v>3.3333333333333333E-2</v>
      </c>
      <c r="Q203" s="173">
        <v>1</v>
      </c>
      <c r="R203" s="173">
        <v>3.3333333333333333E-2</v>
      </c>
      <c r="S203" s="169" t="s">
        <v>1218</v>
      </c>
      <c r="T203" s="169">
        <v>2010</v>
      </c>
      <c r="U203" s="173">
        <v>12</v>
      </c>
      <c r="V203" s="173">
        <v>7.25</v>
      </c>
      <c r="W203" s="174">
        <v>40210</v>
      </c>
    </row>
    <row r="204" spans="1:23" x14ac:dyDescent="0.2">
      <c r="A204" s="171">
        <v>13105</v>
      </c>
      <c r="B204" s="172" t="s">
        <v>1238</v>
      </c>
      <c r="C204" s="172" t="s">
        <v>1216</v>
      </c>
      <c r="D204" s="172" t="s">
        <v>1233</v>
      </c>
      <c r="E204" s="173">
        <v>34.5</v>
      </c>
      <c r="F204" s="173">
        <v>3</v>
      </c>
      <c r="G204" s="173">
        <v>0</v>
      </c>
      <c r="H204" s="173">
        <v>0</v>
      </c>
      <c r="I204" s="173">
        <v>0</v>
      </c>
      <c r="J204" s="173">
        <v>0</v>
      </c>
      <c r="K204" s="173">
        <v>0</v>
      </c>
      <c r="L204" s="173">
        <v>0</v>
      </c>
      <c r="M204" s="173">
        <v>0</v>
      </c>
      <c r="N204" s="173">
        <v>0</v>
      </c>
      <c r="O204" s="173">
        <v>1</v>
      </c>
      <c r="P204" s="173">
        <v>0.75</v>
      </c>
      <c r="Q204" s="173">
        <v>1</v>
      </c>
      <c r="R204" s="173">
        <v>0.75</v>
      </c>
      <c r="S204" s="169" t="s">
        <v>1218</v>
      </c>
      <c r="T204" s="169">
        <v>2010</v>
      </c>
      <c r="U204" s="173">
        <v>12</v>
      </c>
      <c r="V204" s="173">
        <v>7.25</v>
      </c>
      <c r="W204" s="174">
        <v>40238</v>
      </c>
    </row>
    <row r="205" spans="1:23" x14ac:dyDescent="0.2">
      <c r="A205" s="171">
        <v>13105</v>
      </c>
      <c r="B205" s="172" t="s">
        <v>1238</v>
      </c>
      <c r="C205" s="172" t="s">
        <v>1216</v>
      </c>
      <c r="D205" s="172" t="s">
        <v>1233</v>
      </c>
      <c r="E205" s="173">
        <v>34.5</v>
      </c>
      <c r="F205" s="173">
        <v>3</v>
      </c>
      <c r="G205" s="173">
        <v>0</v>
      </c>
      <c r="H205" s="173">
        <v>0</v>
      </c>
      <c r="I205" s="173">
        <v>1</v>
      </c>
      <c r="J205" s="173">
        <v>4</v>
      </c>
      <c r="K205" s="173">
        <v>0</v>
      </c>
      <c r="L205" s="173">
        <v>0</v>
      </c>
      <c r="M205" s="173">
        <v>0</v>
      </c>
      <c r="N205" s="173">
        <v>0</v>
      </c>
      <c r="O205" s="173">
        <v>6</v>
      </c>
      <c r="P205" s="173">
        <v>4.1333333333333337</v>
      </c>
      <c r="Q205" s="173">
        <v>6</v>
      </c>
      <c r="R205" s="173">
        <v>4.1333333333333337</v>
      </c>
      <c r="S205" s="169" t="s">
        <v>1219</v>
      </c>
      <c r="T205" s="169">
        <v>2010</v>
      </c>
      <c r="U205" s="173">
        <v>12</v>
      </c>
      <c r="V205" s="173">
        <v>7.25</v>
      </c>
      <c r="W205" s="174">
        <v>40269</v>
      </c>
    </row>
    <row r="206" spans="1:23" x14ac:dyDescent="0.2">
      <c r="A206" s="171">
        <v>13105</v>
      </c>
      <c r="B206" s="172" t="s">
        <v>1238</v>
      </c>
      <c r="C206" s="172" t="s">
        <v>1216</v>
      </c>
      <c r="D206" s="172" t="s">
        <v>1233</v>
      </c>
      <c r="E206" s="173">
        <v>34.5</v>
      </c>
      <c r="F206" s="173">
        <v>3</v>
      </c>
      <c r="G206" s="173">
        <v>1</v>
      </c>
      <c r="H206" s="173">
        <v>1</v>
      </c>
      <c r="I206" s="173">
        <v>0</v>
      </c>
      <c r="J206" s="173">
        <v>0</v>
      </c>
      <c r="K206" s="173">
        <v>0</v>
      </c>
      <c r="L206" s="173">
        <v>0</v>
      </c>
      <c r="M206" s="173">
        <v>0</v>
      </c>
      <c r="N206" s="173">
        <v>0</v>
      </c>
      <c r="O206" s="173">
        <v>1</v>
      </c>
      <c r="P206" s="173">
        <v>0.05</v>
      </c>
      <c r="Q206" s="173">
        <v>1</v>
      </c>
      <c r="R206" s="173">
        <v>0.05</v>
      </c>
      <c r="S206" s="169" t="s">
        <v>1219</v>
      </c>
      <c r="T206" s="169">
        <v>2010</v>
      </c>
      <c r="U206" s="173">
        <v>12</v>
      </c>
      <c r="V206" s="173">
        <v>7.25</v>
      </c>
      <c r="W206" s="174">
        <v>40299</v>
      </c>
    </row>
    <row r="207" spans="1:23" x14ac:dyDescent="0.2">
      <c r="A207" s="171">
        <v>13105</v>
      </c>
      <c r="B207" s="172" t="s">
        <v>1238</v>
      </c>
      <c r="C207" s="172" t="s">
        <v>1216</v>
      </c>
      <c r="D207" s="172" t="s">
        <v>1233</v>
      </c>
      <c r="E207" s="173">
        <v>34.5</v>
      </c>
      <c r="F207" s="173">
        <v>3</v>
      </c>
      <c r="G207" s="173">
        <v>1</v>
      </c>
      <c r="H207" s="173">
        <v>1</v>
      </c>
      <c r="I207" s="173">
        <v>3</v>
      </c>
      <c r="J207" s="173">
        <v>211</v>
      </c>
      <c r="K207" s="173">
        <v>0</v>
      </c>
      <c r="L207" s="173">
        <v>0</v>
      </c>
      <c r="M207" s="173">
        <v>0</v>
      </c>
      <c r="N207" s="173">
        <v>0</v>
      </c>
      <c r="O207" s="173">
        <v>1</v>
      </c>
      <c r="P207" s="173">
        <v>3.3333333333333333E-2</v>
      </c>
      <c r="Q207" s="173">
        <v>1</v>
      </c>
      <c r="R207" s="173">
        <v>3.3333333333333333E-2</v>
      </c>
      <c r="S207" s="169" t="s">
        <v>1219</v>
      </c>
      <c r="T207" s="169">
        <v>2010</v>
      </c>
      <c r="U207" s="173">
        <v>12</v>
      </c>
      <c r="V207" s="173">
        <v>7.25</v>
      </c>
      <c r="W207" s="174">
        <v>40330</v>
      </c>
    </row>
    <row r="208" spans="1:23" x14ac:dyDescent="0.2">
      <c r="A208" s="171">
        <v>13105</v>
      </c>
      <c r="B208" s="172" t="s">
        <v>1238</v>
      </c>
      <c r="C208" s="172" t="s">
        <v>1216</v>
      </c>
      <c r="D208" s="172" t="s">
        <v>1233</v>
      </c>
      <c r="E208" s="173">
        <v>34.5</v>
      </c>
      <c r="F208" s="173">
        <v>3</v>
      </c>
      <c r="G208" s="173">
        <v>1</v>
      </c>
      <c r="H208" s="173">
        <v>1</v>
      </c>
      <c r="I208" s="173">
        <v>3</v>
      </c>
      <c r="J208" s="173">
        <v>31</v>
      </c>
      <c r="K208" s="173">
        <v>0</v>
      </c>
      <c r="L208" s="173">
        <v>0</v>
      </c>
      <c r="M208" s="173">
        <v>0</v>
      </c>
      <c r="N208" s="173">
        <v>0</v>
      </c>
      <c r="O208" s="173">
        <v>0</v>
      </c>
      <c r="P208" s="173">
        <v>0</v>
      </c>
      <c r="Q208" s="173">
        <v>0</v>
      </c>
      <c r="R208" s="173">
        <v>0</v>
      </c>
      <c r="S208" s="169" t="s">
        <v>1220</v>
      </c>
      <c r="T208" s="169">
        <v>2010</v>
      </c>
      <c r="U208" s="173">
        <v>12</v>
      </c>
      <c r="V208" s="173">
        <v>7.25</v>
      </c>
      <c r="W208" s="174">
        <v>40360</v>
      </c>
    </row>
    <row r="209" spans="1:23" x14ac:dyDescent="0.2">
      <c r="A209" s="171">
        <v>13105</v>
      </c>
      <c r="B209" s="172" t="s">
        <v>1238</v>
      </c>
      <c r="C209" s="172" t="s">
        <v>1216</v>
      </c>
      <c r="D209" s="172" t="s">
        <v>1233</v>
      </c>
      <c r="E209" s="173">
        <v>34.5</v>
      </c>
      <c r="F209" s="173">
        <v>3</v>
      </c>
      <c r="G209" s="173">
        <v>0</v>
      </c>
      <c r="H209" s="173">
        <v>0</v>
      </c>
      <c r="I209" s="173">
        <v>1</v>
      </c>
      <c r="J209" s="173">
        <v>3</v>
      </c>
      <c r="K209" s="173">
        <v>0</v>
      </c>
      <c r="L209" s="173">
        <v>0</v>
      </c>
      <c r="M209" s="173">
        <v>0</v>
      </c>
      <c r="N209" s="173">
        <v>0</v>
      </c>
      <c r="O209" s="173">
        <v>0</v>
      </c>
      <c r="P209" s="173">
        <v>0</v>
      </c>
      <c r="Q209" s="173">
        <v>0</v>
      </c>
      <c r="R209" s="173">
        <v>0</v>
      </c>
      <c r="S209" s="169" t="s">
        <v>1220</v>
      </c>
      <c r="T209" s="169">
        <v>2010</v>
      </c>
      <c r="U209" s="173">
        <v>12</v>
      </c>
      <c r="V209" s="173">
        <v>7.25</v>
      </c>
      <c r="W209" s="174">
        <v>40391</v>
      </c>
    </row>
    <row r="210" spans="1:23" x14ac:dyDescent="0.2">
      <c r="A210" s="171">
        <v>13105</v>
      </c>
      <c r="B210" s="172" t="s">
        <v>1238</v>
      </c>
      <c r="C210" s="172" t="s">
        <v>1216</v>
      </c>
      <c r="D210" s="172" t="s">
        <v>1233</v>
      </c>
      <c r="E210" s="173">
        <v>34.5</v>
      </c>
      <c r="F210" s="173">
        <v>3</v>
      </c>
      <c r="G210" s="173">
        <v>1</v>
      </c>
      <c r="H210" s="173">
        <v>1</v>
      </c>
      <c r="I210" s="173">
        <v>1</v>
      </c>
      <c r="J210" s="173">
        <v>18</v>
      </c>
      <c r="K210" s="173">
        <v>0</v>
      </c>
      <c r="L210" s="173">
        <v>0</v>
      </c>
      <c r="M210" s="173">
        <v>0</v>
      </c>
      <c r="N210" s="173">
        <v>0</v>
      </c>
      <c r="O210" s="173">
        <v>0</v>
      </c>
      <c r="P210" s="173">
        <v>0</v>
      </c>
      <c r="Q210" s="173">
        <v>0</v>
      </c>
      <c r="R210" s="173">
        <v>0</v>
      </c>
      <c r="S210" s="169" t="s">
        <v>1220</v>
      </c>
      <c r="T210" s="169">
        <v>2010</v>
      </c>
      <c r="U210" s="173">
        <v>12</v>
      </c>
      <c r="V210" s="173">
        <v>7.25</v>
      </c>
      <c r="W210" s="174">
        <v>40422</v>
      </c>
    </row>
    <row r="211" spans="1:23" x14ac:dyDescent="0.2">
      <c r="A211" s="171">
        <v>13105</v>
      </c>
      <c r="B211" s="172" t="s">
        <v>1238</v>
      </c>
      <c r="C211" s="172" t="s">
        <v>1216</v>
      </c>
      <c r="D211" s="172" t="s">
        <v>1233</v>
      </c>
      <c r="E211" s="173">
        <v>34.5</v>
      </c>
      <c r="F211" s="173">
        <v>3</v>
      </c>
      <c r="G211" s="173">
        <v>0</v>
      </c>
      <c r="H211" s="173">
        <v>0</v>
      </c>
      <c r="I211" s="173">
        <v>0</v>
      </c>
      <c r="J211" s="173">
        <v>0</v>
      </c>
      <c r="K211" s="173">
        <v>0</v>
      </c>
      <c r="L211" s="173">
        <v>0</v>
      </c>
      <c r="M211" s="173">
        <v>0</v>
      </c>
      <c r="N211" s="173">
        <v>0</v>
      </c>
      <c r="O211" s="173">
        <v>0</v>
      </c>
      <c r="P211" s="173">
        <v>0</v>
      </c>
      <c r="Q211" s="173">
        <v>0</v>
      </c>
      <c r="R211" s="173">
        <v>0</v>
      </c>
      <c r="S211" s="169" t="s">
        <v>1221</v>
      </c>
      <c r="T211" s="169">
        <v>2010</v>
      </c>
      <c r="U211" s="173">
        <v>15</v>
      </c>
      <c r="V211" s="173">
        <v>7.25</v>
      </c>
      <c r="W211" s="174">
        <v>40452</v>
      </c>
    </row>
    <row r="212" spans="1:23" x14ac:dyDescent="0.2">
      <c r="A212" s="171">
        <v>13105</v>
      </c>
      <c r="B212" s="172" t="s">
        <v>1238</v>
      </c>
      <c r="C212" s="172" t="s">
        <v>1216</v>
      </c>
      <c r="D212" s="172" t="s">
        <v>1233</v>
      </c>
      <c r="E212" s="173">
        <v>34.5</v>
      </c>
      <c r="F212" s="173">
        <v>3</v>
      </c>
      <c r="G212" s="173">
        <v>0</v>
      </c>
      <c r="H212" s="173">
        <v>0</v>
      </c>
      <c r="I212" s="173">
        <v>0</v>
      </c>
      <c r="J212" s="173">
        <v>0</v>
      </c>
      <c r="K212" s="173">
        <v>0</v>
      </c>
      <c r="L212" s="173">
        <v>0</v>
      </c>
      <c r="M212" s="173">
        <v>0</v>
      </c>
      <c r="N212" s="173">
        <v>0</v>
      </c>
      <c r="O212" s="173">
        <v>7</v>
      </c>
      <c r="P212" s="173">
        <v>1.4333333333333333</v>
      </c>
      <c r="Q212" s="173">
        <v>7</v>
      </c>
      <c r="R212" s="173">
        <v>1.4333333333333333</v>
      </c>
      <c r="S212" s="169" t="s">
        <v>1221</v>
      </c>
      <c r="T212" s="169">
        <v>2010</v>
      </c>
      <c r="U212" s="173">
        <v>15</v>
      </c>
      <c r="V212" s="173">
        <v>7.25</v>
      </c>
      <c r="W212" s="174">
        <v>40483</v>
      </c>
    </row>
    <row r="213" spans="1:23" x14ac:dyDescent="0.2">
      <c r="A213" s="171">
        <v>13105</v>
      </c>
      <c r="B213" s="172" t="s">
        <v>1238</v>
      </c>
      <c r="C213" s="172" t="s">
        <v>1216</v>
      </c>
      <c r="D213" s="172" t="s">
        <v>1233</v>
      </c>
      <c r="E213" s="173">
        <v>34.5</v>
      </c>
      <c r="F213" s="173">
        <v>3</v>
      </c>
      <c r="G213" s="173">
        <v>2</v>
      </c>
      <c r="H213" s="173">
        <v>2</v>
      </c>
      <c r="I213" s="173">
        <v>0</v>
      </c>
      <c r="J213" s="173">
        <v>0</v>
      </c>
      <c r="K213" s="173">
        <v>0</v>
      </c>
      <c r="L213" s="173">
        <v>0</v>
      </c>
      <c r="M213" s="173">
        <v>0</v>
      </c>
      <c r="N213" s="173">
        <v>0</v>
      </c>
      <c r="O213" s="173">
        <v>0</v>
      </c>
      <c r="P213" s="173">
        <v>0.1</v>
      </c>
      <c r="Q213" s="173">
        <v>0</v>
      </c>
      <c r="R213" s="173">
        <v>0.1</v>
      </c>
      <c r="S213" s="169" t="s">
        <v>1221</v>
      </c>
      <c r="T213" s="169">
        <v>2010</v>
      </c>
      <c r="U213" s="173">
        <v>15</v>
      </c>
      <c r="V213" s="173">
        <v>7.25</v>
      </c>
      <c r="W213" s="174">
        <v>40513</v>
      </c>
    </row>
    <row r="214" spans="1:23" x14ac:dyDescent="0.2">
      <c r="A214" s="171">
        <v>13105</v>
      </c>
      <c r="B214" s="172" t="s">
        <v>1238</v>
      </c>
      <c r="C214" s="172" t="s">
        <v>1216</v>
      </c>
      <c r="D214" s="172" t="s">
        <v>1233</v>
      </c>
      <c r="E214" s="173">
        <v>34.5</v>
      </c>
      <c r="F214" s="173">
        <v>3</v>
      </c>
      <c r="G214" s="173">
        <v>6</v>
      </c>
      <c r="H214" s="173">
        <v>6</v>
      </c>
      <c r="I214" s="173">
        <v>0</v>
      </c>
      <c r="J214" s="173">
        <v>0</v>
      </c>
      <c r="K214" s="173">
        <v>0</v>
      </c>
      <c r="L214" s="173">
        <v>0</v>
      </c>
      <c r="M214" s="173">
        <v>0</v>
      </c>
      <c r="N214" s="173">
        <v>0</v>
      </c>
      <c r="O214" s="173">
        <v>0</v>
      </c>
      <c r="P214" s="173">
        <v>0</v>
      </c>
      <c r="Q214" s="173">
        <v>0</v>
      </c>
      <c r="R214" s="173">
        <v>0</v>
      </c>
      <c r="S214" s="169" t="s">
        <v>1218</v>
      </c>
      <c r="T214" s="169">
        <v>2011</v>
      </c>
      <c r="U214" s="173">
        <v>14</v>
      </c>
      <c r="V214" s="173">
        <v>10</v>
      </c>
      <c r="W214" s="174">
        <v>40544</v>
      </c>
    </row>
    <row r="215" spans="1:23" x14ac:dyDescent="0.2">
      <c r="A215" s="171">
        <v>13105</v>
      </c>
      <c r="B215" s="172" t="s">
        <v>1238</v>
      </c>
      <c r="C215" s="172" t="s">
        <v>1216</v>
      </c>
      <c r="D215" s="172" t="s">
        <v>1233</v>
      </c>
      <c r="E215" s="173">
        <v>34.5</v>
      </c>
      <c r="F215" s="173">
        <v>3</v>
      </c>
      <c r="G215" s="173">
        <v>3</v>
      </c>
      <c r="H215" s="173">
        <v>3</v>
      </c>
      <c r="I215" s="173">
        <v>0</v>
      </c>
      <c r="J215" s="173">
        <v>0</v>
      </c>
      <c r="K215" s="173">
        <v>0</v>
      </c>
      <c r="L215" s="173">
        <v>0</v>
      </c>
      <c r="M215" s="173">
        <v>0</v>
      </c>
      <c r="N215" s="173">
        <v>0</v>
      </c>
      <c r="O215" s="173">
        <v>0</v>
      </c>
      <c r="P215" s="173">
        <v>0</v>
      </c>
      <c r="Q215" s="173">
        <v>0</v>
      </c>
      <c r="R215" s="173">
        <v>0</v>
      </c>
      <c r="S215" s="169" t="s">
        <v>1218</v>
      </c>
      <c r="T215" s="169">
        <v>2011</v>
      </c>
      <c r="U215" s="173">
        <v>14</v>
      </c>
      <c r="V215" s="173">
        <v>10</v>
      </c>
      <c r="W215" s="174">
        <v>40575</v>
      </c>
    </row>
    <row r="216" spans="1:23" x14ac:dyDescent="0.2">
      <c r="A216" s="171">
        <v>13105</v>
      </c>
      <c r="B216" s="172" t="s">
        <v>1238</v>
      </c>
      <c r="C216" s="172" t="s">
        <v>1216</v>
      </c>
      <c r="D216" s="172" t="s">
        <v>1233</v>
      </c>
      <c r="E216" s="173">
        <v>34.5</v>
      </c>
      <c r="F216" s="173">
        <v>3</v>
      </c>
      <c r="G216" s="173">
        <v>0</v>
      </c>
      <c r="H216" s="173">
        <v>0</v>
      </c>
      <c r="I216" s="173">
        <v>0</v>
      </c>
      <c r="J216" s="173">
        <v>0</v>
      </c>
      <c r="K216" s="173">
        <v>0</v>
      </c>
      <c r="L216" s="173">
        <v>0</v>
      </c>
      <c r="M216" s="173">
        <v>0</v>
      </c>
      <c r="N216" s="173">
        <v>0</v>
      </c>
      <c r="O216" s="173">
        <v>2</v>
      </c>
      <c r="P216" s="173">
        <v>0.33333333333333331</v>
      </c>
      <c r="Q216" s="173">
        <v>2</v>
      </c>
      <c r="R216" s="173">
        <v>0.33333333333333331</v>
      </c>
      <c r="S216" s="169" t="s">
        <v>1218</v>
      </c>
      <c r="T216" s="169">
        <v>2011</v>
      </c>
      <c r="U216" s="173">
        <v>14</v>
      </c>
      <c r="V216" s="173">
        <v>10</v>
      </c>
      <c r="W216" s="174">
        <v>40603</v>
      </c>
    </row>
    <row r="217" spans="1:23" x14ac:dyDescent="0.2">
      <c r="A217" s="171">
        <v>13105</v>
      </c>
      <c r="B217" s="172" t="s">
        <v>1238</v>
      </c>
      <c r="C217" s="172" t="s">
        <v>1216</v>
      </c>
      <c r="D217" s="172" t="s">
        <v>1233</v>
      </c>
      <c r="E217" s="173">
        <v>34.5</v>
      </c>
      <c r="F217" s="173">
        <v>3</v>
      </c>
      <c r="G217" s="173">
        <v>2</v>
      </c>
      <c r="H217" s="173">
        <v>2</v>
      </c>
      <c r="I217" s="173">
        <v>0</v>
      </c>
      <c r="J217" s="173">
        <v>0</v>
      </c>
      <c r="K217" s="173">
        <v>1</v>
      </c>
      <c r="L217" s="173">
        <v>89</v>
      </c>
      <c r="M217" s="173">
        <v>0</v>
      </c>
      <c r="N217" s="173">
        <v>0</v>
      </c>
      <c r="O217" s="173">
        <v>1</v>
      </c>
      <c r="P217" s="173">
        <v>3.3333333333333333E-2</v>
      </c>
      <c r="Q217" s="173">
        <v>1</v>
      </c>
      <c r="R217" s="173">
        <v>3.3333333333333333E-2</v>
      </c>
      <c r="S217" s="169" t="s">
        <v>1219</v>
      </c>
      <c r="T217" s="169">
        <v>2011</v>
      </c>
      <c r="U217" s="173">
        <v>14</v>
      </c>
      <c r="V217" s="173">
        <v>8</v>
      </c>
      <c r="W217" s="174">
        <v>40634</v>
      </c>
    </row>
    <row r="218" spans="1:23" x14ac:dyDescent="0.2">
      <c r="A218" s="171">
        <v>13105</v>
      </c>
      <c r="B218" s="172" t="s">
        <v>1238</v>
      </c>
      <c r="C218" s="172" t="s">
        <v>1216</v>
      </c>
      <c r="D218" s="172" t="s">
        <v>1233</v>
      </c>
      <c r="E218" s="173">
        <v>34.5</v>
      </c>
      <c r="F218" s="173">
        <v>3</v>
      </c>
      <c r="G218" s="173">
        <v>5</v>
      </c>
      <c r="H218" s="173">
        <v>5</v>
      </c>
      <c r="I218" s="173">
        <v>0</v>
      </c>
      <c r="J218" s="173">
        <v>0</v>
      </c>
      <c r="K218" s="173">
        <v>0</v>
      </c>
      <c r="L218" s="173">
        <v>0</v>
      </c>
      <c r="M218" s="173">
        <v>0</v>
      </c>
      <c r="N218" s="173">
        <v>0</v>
      </c>
      <c r="O218" s="173">
        <v>1</v>
      </c>
      <c r="P218" s="173">
        <v>3.3333333333333333E-2</v>
      </c>
      <c r="Q218" s="173">
        <v>1</v>
      </c>
      <c r="R218" s="173">
        <v>3.3333333333333333E-2</v>
      </c>
      <c r="S218" s="169" t="s">
        <v>1219</v>
      </c>
      <c r="T218" s="169">
        <v>2011</v>
      </c>
      <c r="U218" s="173">
        <v>14</v>
      </c>
      <c r="V218" s="173">
        <v>8</v>
      </c>
      <c r="W218" s="174">
        <v>40664</v>
      </c>
    </row>
    <row r="219" spans="1:23" x14ac:dyDescent="0.2">
      <c r="A219" s="171">
        <v>13105</v>
      </c>
      <c r="B219" s="172" t="s">
        <v>1238</v>
      </c>
      <c r="C219" s="172" t="s">
        <v>1216</v>
      </c>
      <c r="D219" s="172" t="s">
        <v>1233</v>
      </c>
      <c r="E219" s="173">
        <v>34.5</v>
      </c>
      <c r="F219" s="173">
        <v>3</v>
      </c>
      <c r="G219" s="173">
        <v>0</v>
      </c>
      <c r="H219" s="173">
        <v>0</v>
      </c>
      <c r="I219" s="173">
        <v>0</v>
      </c>
      <c r="J219" s="173">
        <v>0</v>
      </c>
      <c r="K219" s="173">
        <v>0</v>
      </c>
      <c r="L219" s="173">
        <v>0</v>
      </c>
      <c r="M219" s="173">
        <v>0</v>
      </c>
      <c r="N219" s="173">
        <v>0</v>
      </c>
      <c r="O219" s="173">
        <v>0</v>
      </c>
      <c r="P219" s="173">
        <v>0</v>
      </c>
      <c r="Q219" s="173">
        <v>0</v>
      </c>
      <c r="R219" s="173">
        <v>0</v>
      </c>
      <c r="S219" s="169" t="s">
        <v>1219</v>
      </c>
      <c r="T219" s="169">
        <v>2011</v>
      </c>
      <c r="U219" s="173">
        <v>14</v>
      </c>
      <c r="V219" s="173">
        <v>8</v>
      </c>
      <c r="W219" s="174">
        <v>40695</v>
      </c>
    </row>
    <row r="220" spans="1:23" x14ac:dyDescent="0.2">
      <c r="A220" s="171">
        <v>13105</v>
      </c>
      <c r="B220" s="172" t="s">
        <v>1238</v>
      </c>
      <c r="C220" s="172" t="s">
        <v>1216</v>
      </c>
      <c r="D220" s="172" t="s">
        <v>1233</v>
      </c>
      <c r="E220" s="173">
        <v>34.5</v>
      </c>
      <c r="F220" s="173">
        <v>3</v>
      </c>
      <c r="G220" s="173">
        <v>3</v>
      </c>
      <c r="H220" s="173">
        <v>3</v>
      </c>
      <c r="I220" s="173">
        <v>0</v>
      </c>
      <c r="J220" s="173">
        <v>0</v>
      </c>
      <c r="K220" s="173">
        <v>1</v>
      </c>
      <c r="L220" s="173">
        <v>394</v>
      </c>
      <c r="M220" s="173">
        <v>0</v>
      </c>
      <c r="N220" s="173">
        <v>0</v>
      </c>
      <c r="O220" s="173">
        <v>0</v>
      </c>
      <c r="P220" s="173">
        <v>0</v>
      </c>
      <c r="Q220" s="173">
        <v>0</v>
      </c>
      <c r="R220" s="173">
        <v>0</v>
      </c>
      <c r="S220" s="169" t="s">
        <v>1220</v>
      </c>
      <c r="T220" s="169">
        <v>2011</v>
      </c>
      <c r="U220" s="173">
        <v>10</v>
      </c>
      <c r="V220" s="173">
        <v>4.5</v>
      </c>
      <c r="W220" s="174">
        <v>40725</v>
      </c>
    </row>
    <row r="221" spans="1:23" x14ac:dyDescent="0.2">
      <c r="A221" s="171">
        <v>13105</v>
      </c>
      <c r="B221" s="172" t="s">
        <v>1238</v>
      </c>
      <c r="C221" s="172" t="s">
        <v>1216</v>
      </c>
      <c r="D221" s="172" t="s">
        <v>1233</v>
      </c>
      <c r="E221" s="173">
        <v>34.5</v>
      </c>
      <c r="F221" s="173">
        <v>3</v>
      </c>
      <c r="G221" s="173">
        <v>1</v>
      </c>
      <c r="H221" s="173">
        <v>1</v>
      </c>
      <c r="I221" s="173">
        <v>0</v>
      </c>
      <c r="J221" s="173">
        <v>0</v>
      </c>
      <c r="K221" s="173">
        <v>0</v>
      </c>
      <c r="L221" s="173">
        <v>0</v>
      </c>
      <c r="M221" s="173">
        <v>0</v>
      </c>
      <c r="N221" s="173">
        <v>0</v>
      </c>
      <c r="O221" s="173">
        <v>0</v>
      </c>
      <c r="P221" s="173">
        <v>0</v>
      </c>
      <c r="Q221" s="173">
        <v>0</v>
      </c>
      <c r="R221" s="173">
        <v>0</v>
      </c>
      <c r="S221" s="169" t="s">
        <v>1220</v>
      </c>
      <c r="T221" s="169">
        <v>2011</v>
      </c>
      <c r="U221" s="173">
        <v>10</v>
      </c>
      <c r="V221" s="173">
        <v>4.5</v>
      </c>
      <c r="W221" s="174">
        <v>40756</v>
      </c>
    </row>
    <row r="222" spans="1:23" x14ac:dyDescent="0.2">
      <c r="A222" s="171">
        <v>13104</v>
      </c>
      <c r="B222" s="172" t="s">
        <v>1239</v>
      </c>
      <c r="C222" s="172" t="s">
        <v>1216</v>
      </c>
      <c r="D222" s="172" t="s">
        <v>1233</v>
      </c>
      <c r="E222" s="173">
        <v>34.5</v>
      </c>
      <c r="F222" s="173">
        <v>4</v>
      </c>
      <c r="G222" s="173">
        <v>0</v>
      </c>
      <c r="H222" s="173">
        <v>0</v>
      </c>
      <c r="I222" s="173">
        <v>4</v>
      </c>
      <c r="J222" s="173">
        <v>715</v>
      </c>
      <c r="K222" s="173">
        <v>0</v>
      </c>
      <c r="L222" s="173">
        <v>0</v>
      </c>
      <c r="M222" s="173">
        <v>0</v>
      </c>
      <c r="N222" s="173">
        <v>0</v>
      </c>
      <c r="O222" s="173">
        <v>0</v>
      </c>
      <c r="P222" s="173">
        <v>0</v>
      </c>
      <c r="Q222" s="173">
        <v>0</v>
      </c>
      <c r="R222" s="173">
        <v>0</v>
      </c>
      <c r="S222" s="169" t="s">
        <v>1218</v>
      </c>
      <c r="T222" s="169">
        <v>2010</v>
      </c>
      <c r="U222" s="173">
        <v>14</v>
      </c>
      <c r="V222" s="173">
        <v>9.75</v>
      </c>
      <c r="W222" s="174">
        <v>40179</v>
      </c>
    </row>
    <row r="223" spans="1:23" x14ac:dyDescent="0.2">
      <c r="A223" s="171">
        <v>13104</v>
      </c>
      <c r="B223" s="172" t="s">
        <v>1239</v>
      </c>
      <c r="C223" s="172" t="s">
        <v>1216</v>
      </c>
      <c r="D223" s="172" t="s">
        <v>1233</v>
      </c>
      <c r="E223" s="173">
        <v>34.5</v>
      </c>
      <c r="F223" s="173">
        <v>4</v>
      </c>
      <c r="G223" s="173">
        <v>0</v>
      </c>
      <c r="H223" s="173">
        <v>0</v>
      </c>
      <c r="I223" s="173">
        <v>2</v>
      </c>
      <c r="J223" s="173">
        <v>34</v>
      </c>
      <c r="K223" s="173">
        <v>0</v>
      </c>
      <c r="L223" s="173">
        <v>0</v>
      </c>
      <c r="M223" s="173">
        <v>0</v>
      </c>
      <c r="N223" s="173">
        <v>0</v>
      </c>
      <c r="O223" s="173">
        <v>0</v>
      </c>
      <c r="P223" s="173">
        <v>0</v>
      </c>
      <c r="Q223" s="173">
        <v>0</v>
      </c>
      <c r="R223" s="173">
        <v>0</v>
      </c>
      <c r="S223" s="169" t="s">
        <v>1218</v>
      </c>
      <c r="T223" s="169">
        <v>2010</v>
      </c>
      <c r="U223" s="173">
        <v>14</v>
      </c>
      <c r="V223" s="173">
        <v>9.75</v>
      </c>
      <c r="W223" s="174">
        <v>40210</v>
      </c>
    </row>
    <row r="224" spans="1:23" x14ac:dyDescent="0.2">
      <c r="A224" s="171">
        <v>13104</v>
      </c>
      <c r="B224" s="172" t="s">
        <v>1239</v>
      </c>
      <c r="C224" s="172" t="s">
        <v>1216</v>
      </c>
      <c r="D224" s="172" t="s">
        <v>1233</v>
      </c>
      <c r="E224" s="173">
        <v>34.5</v>
      </c>
      <c r="F224" s="173">
        <v>4</v>
      </c>
      <c r="G224" s="173">
        <v>0</v>
      </c>
      <c r="H224" s="173">
        <v>0</v>
      </c>
      <c r="I224" s="173">
        <v>3</v>
      </c>
      <c r="J224" s="173">
        <v>55</v>
      </c>
      <c r="K224" s="173">
        <v>0</v>
      </c>
      <c r="L224" s="173">
        <v>0</v>
      </c>
      <c r="M224" s="173">
        <v>1</v>
      </c>
      <c r="N224" s="173">
        <v>6.583333333333333</v>
      </c>
      <c r="O224" s="173">
        <v>3</v>
      </c>
      <c r="P224" s="173">
        <v>0.95</v>
      </c>
      <c r="Q224" s="173">
        <v>4</v>
      </c>
      <c r="R224" s="173">
        <v>7.5333333333333332</v>
      </c>
      <c r="S224" s="169" t="s">
        <v>1218</v>
      </c>
      <c r="T224" s="169">
        <v>2010</v>
      </c>
      <c r="U224" s="173">
        <v>14</v>
      </c>
      <c r="V224" s="173">
        <v>9.75</v>
      </c>
      <c r="W224" s="174">
        <v>40238</v>
      </c>
    </row>
    <row r="225" spans="1:23" x14ac:dyDescent="0.2">
      <c r="A225" s="171">
        <v>13104</v>
      </c>
      <c r="B225" s="172" t="s">
        <v>1239</v>
      </c>
      <c r="C225" s="172" t="s">
        <v>1216</v>
      </c>
      <c r="D225" s="172" t="s">
        <v>1233</v>
      </c>
      <c r="E225" s="173">
        <v>34.5</v>
      </c>
      <c r="F225" s="173">
        <v>4</v>
      </c>
      <c r="G225" s="173">
        <v>0</v>
      </c>
      <c r="H225" s="173">
        <v>0</v>
      </c>
      <c r="I225" s="173">
        <v>6</v>
      </c>
      <c r="J225" s="173">
        <v>97</v>
      </c>
      <c r="K225" s="173">
        <v>0</v>
      </c>
      <c r="L225" s="173">
        <v>0</v>
      </c>
      <c r="M225" s="173">
        <v>0</v>
      </c>
      <c r="N225" s="173">
        <v>0</v>
      </c>
      <c r="O225" s="173">
        <v>4</v>
      </c>
      <c r="P225" s="173">
        <v>1</v>
      </c>
      <c r="Q225" s="173">
        <v>4</v>
      </c>
      <c r="R225" s="173">
        <v>1</v>
      </c>
      <c r="S225" s="169" t="s">
        <v>1219</v>
      </c>
      <c r="T225" s="169">
        <v>2010</v>
      </c>
      <c r="U225" s="173">
        <v>14</v>
      </c>
      <c r="V225" s="173">
        <v>9.75</v>
      </c>
      <c r="W225" s="174">
        <v>40269</v>
      </c>
    </row>
    <row r="226" spans="1:23" x14ac:dyDescent="0.2">
      <c r="A226" s="171">
        <v>13104</v>
      </c>
      <c r="B226" s="172" t="s">
        <v>1239</v>
      </c>
      <c r="C226" s="172" t="s">
        <v>1216</v>
      </c>
      <c r="D226" s="172" t="s">
        <v>1233</v>
      </c>
      <c r="E226" s="173">
        <v>34.5</v>
      </c>
      <c r="F226" s="173">
        <v>4</v>
      </c>
      <c r="G226" s="173">
        <v>0</v>
      </c>
      <c r="H226" s="173">
        <v>0</v>
      </c>
      <c r="I226" s="173">
        <v>4</v>
      </c>
      <c r="J226" s="173">
        <v>65</v>
      </c>
      <c r="K226" s="173">
        <v>0</v>
      </c>
      <c r="L226" s="173">
        <v>0</v>
      </c>
      <c r="M226" s="173">
        <v>1</v>
      </c>
      <c r="N226" s="173">
        <v>1.9833333333333334</v>
      </c>
      <c r="O226" s="173">
        <v>3</v>
      </c>
      <c r="P226" s="173">
        <v>1.55</v>
      </c>
      <c r="Q226" s="173">
        <v>4</v>
      </c>
      <c r="R226" s="173">
        <v>3.5333333333333332</v>
      </c>
      <c r="S226" s="169" t="s">
        <v>1219</v>
      </c>
      <c r="T226" s="169">
        <v>2010</v>
      </c>
      <c r="U226" s="173">
        <v>14</v>
      </c>
      <c r="V226" s="173">
        <v>9.75</v>
      </c>
      <c r="W226" s="174">
        <v>40299</v>
      </c>
    </row>
    <row r="227" spans="1:23" x14ac:dyDescent="0.2">
      <c r="A227" s="171">
        <v>13104</v>
      </c>
      <c r="B227" s="172" t="s">
        <v>1239</v>
      </c>
      <c r="C227" s="172" t="s">
        <v>1216</v>
      </c>
      <c r="D227" s="172" t="s">
        <v>1233</v>
      </c>
      <c r="E227" s="173">
        <v>34.5</v>
      </c>
      <c r="F227" s="173">
        <v>4</v>
      </c>
      <c r="G227" s="173">
        <v>1</v>
      </c>
      <c r="H227" s="173">
        <v>1</v>
      </c>
      <c r="I227" s="173">
        <v>3</v>
      </c>
      <c r="J227" s="173">
        <v>48</v>
      </c>
      <c r="K227" s="173">
        <v>0</v>
      </c>
      <c r="L227" s="173">
        <v>0</v>
      </c>
      <c r="M227" s="173">
        <v>0</v>
      </c>
      <c r="N227" s="173">
        <v>0</v>
      </c>
      <c r="O227" s="173">
        <v>0</v>
      </c>
      <c r="P227" s="173">
        <v>0</v>
      </c>
      <c r="Q227" s="173">
        <v>0</v>
      </c>
      <c r="R227" s="173">
        <v>0</v>
      </c>
      <c r="S227" s="169" t="s">
        <v>1219</v>
      </c>
      <c r="T227" s="169">
        <v>2010</v>
      </c>
      <c r="U227" s="173">
        <v>14</v>
      </c>
      <c r="V227" s="173">
        <v>9.75</v>
      </c>
      <c r="W227" s="174">
        <v>40330</v>
      </c>
    </row>
    <row r="228" spans="1:23" x14ac:dyDescent="0.2">
      <c r="A228" s="171">
        <v>13104</v>
      </c>
      <c r="B228" s="172" t="s">
        <v>1239</v>
      </c>
      <c r="C228" s="172" t="s">
        <v>1216</v>
      </c>
      <c r="D228" s="172" t="s">
        <v>1233</v>
      </c>
      <c r="E228" s="173">
        <v>34.5</v>
      </c>
      <c r="F228" s="173">
        <v>4</v>
      </c>
      <c r="G228" s="173">
        <v>0</v>
      </c>
      <c r="H228" s="173">
        <v>0</v>
      </c>
      <c r="I228" s="173">
        <v>2</v>
      </c>
      <c r="J228" s="173">
        <v>28</v>
      </c>
      <c r="K228" s="173">
        <v>0</v>
      </c>
      <c r="L228" s="173">
        <v>0</v>
      </c>
      <c r="M228" s="173">
        <v>0</v>
      </c>
      <c r="N228" s="173">
        <v>0</v>
      </c>
      <c r="O228" s="173">
        <v>0</v>
      </c>
      <c r="P228" s="173">
        <v>0</v>
      </c>
      <c r="Q228" s="173">
        <v>0</v>
      </c>
      <c r="R228" s="173">
        <v>0</v>
      </c>
      <c r="S228" s="169" t="s">
        <v>1220</v>
      </c>
      <c r="T228" s="169">
        <v>2010</v>
      </c>
      <c r="U228" s="173">
        <v>14</v>
      </c>
      <c r="V228" s="173">
        <v>9.75</v>
      </c>
      <c r="W228" s="174">
        <v>40360</v>
      </c>
    </row>
    <row r="229" spans="1:23" x14ac:dyDescent="0.2">
      <c r="A229" s="171">
        <v>13104</v>
      </c>
      <c r="B229" s="172" t="s">
        <v>1239</v>
      </c>
      <c r="C229" s="172" t="s">
        <v>1216</v>
      </c>
      <c r="D229" s="172" t="s">
        <v>1233</v>
      </c>
      <c r="E229" s="173">
        <v>34.5</v>
      </c>
      <c r="F229" s="173">
        <v>4</v>
      </c>
      <c r="G229" s="173">
        <v>0</v>
      </c>
      <c r="H229" s="173">
        <v>0</v>
      </c>
      <c r="I229" s="173">
        <v>1</v>
      </c>
      <c r="J229" s="173">
        <v>9</v>
      </c>
      <c r="K229" s="173">
        <v>0</v>
      </c>
      <c r="L229" s="173">
        <v>0</v>
      </c>
      <c r="M229" s="173">
        <v>0</v>
      </c>
      <c r="N229" s="173">
        <v>0</v>
      </c>
      <c r="O229" s="173">
        <v>0</v>
      </c>
      <c r="P229" s="173">
        <v>0</v>
      </c>
      <c r="Q229" s="173">
        <v>0</v>
      </c>
      <c r="R229" s="173">
        <v>0</v>
      </c>
      <c r="S229" s="169" t="s">
        <v>1220</v>
      </c>
      <c r="T229" s="169">
        <v>2010</v>
      </c>
      <c r="U229" s="173">
        <v>14</v>
      </c>
      <c r="V229" s="173">
        <v>9.75</v>
      </c>
      <c r="W229" s="174">
        <v>40391</v>
      </c>
    </row>
    <row r="230" spans="1:23" x14ac:dyDescent="0.2">
      <c r="A230" s="171">
        <v>13104</v>
      </c>
      <c r="B230" s="172" t="s">
        <v>1239</v>
      </c>
      <c r="C230" s="172" t="s">
        <v>1216</v>
      </c>
      <c r="D230" s="172" t="s">
        <v>1233</v>
      </c>
      <c r="E230" s="173">
        <v>34.5</v>
      </c>
      <c r="F230" s="173">
        <v>4</v>
      </c>
      <c r="G230" s="173">
        <v>0</v>
      </c>
      <c r="H230" s="173">
        <v>0</v>
      </c>
      <c r="I230" s="173">
        <v>7</v>
      </c>
      <c r="J230" s="173">
        <v>1543</v>
      </c>
      <c r="K230" s="173">
        <v>0</v>
      </c>
      <c r="L230" s="173">
        <v>0</v>
      </c>
      <c r="M230" s="173">
        <v>0</v>
      </c>
      <c r="N230" s="173">
        <v>0</v>
      </c>
      <c r="O230" s="173">
        <v>2</v>
      </c>
      <c r="P230" s="173">
        <v>0.6333333333333333</v>
      </c>
      <c r="Q230" s="173">
        <v>2</v>
      </c>
      <c r="R230" s="173">
        <v>0.6333333333333333</v>
      </c>
      <c r="S230" s="169" t="s">
        <v>1220</v>
      </c>
      <c r="T230" s="169">
        <v>2010</v>
      </c>
      <c r="U230" s="173">
        <v>14</v>
      </c>
      <c r="V230" s="173">
        <v>9.75</v>
      </c>
      <c r="W230" s="174">
        <v>40422</v>
      </c>
    </row>
    <row r="231" spans="1:23" x14ac:dyDescent="0.2">
      <c r="A231" s="171">
        <v>13104</v>
      </c>
      <c r="B231" s="172" t="s">
        <v>1239</v>
      </c>
      <c r="C231" s="172" t="s">
        <v>1216</v>
      </c>
      <c r="D231" s="172" t="s">
        <v>1233</v>
      </c>
      <c r="E231" s="173">
        <v>34.5</v>
      </c>
      <c r="F231" s="173">
        <v>4</v>
      </c>
      <c r="G231" s="173">
        <v>0</v>
      </c>
      <c r="H231" s="173">
        <v>0</v>
      </c>
      <c r="I231" s="173">
        <v>0</v>
      </c>
      <c r="J231" s="173">
        <v>0</v>
      </c>
      <c r="K231" s="173">
        <v>0</v>
      </c>
      <c r="L231" s="173">
        <v>0</v>
      </c>
      <c r="M231" s="173">
        <v>0</v>
      </c>
      <c r="N231" s="173">
        <v>0</v>
      </c>
      <c r="O231" s="173">
        <v>0</v>
      </c>
      <c r="P231" s="173">
        <v>0</v>
      </c>
      <c r="Q231" s="173">
        <v>0</v>
      </c>
      <c r="R231" s="173">
        <v>0</v>
      </c>
      <c r="S231" s="169" t="s">
        <v>1221</v>
      </c>
      <c r="T231" s="169">
        <v>2010</v>
      </c>
      <c r="U231" s="173">
        <v>16</v>
      </c>
      <c r="V231" s="173">
        <v>9.75</v>
      </c>
      <c r="W231" s="174">
        <v>40452</v>
      </c>
    </row>
    <row r="232" spans="1:23" x14ac:dyDescent="0.2">
      <c r="A232" s="171">
        <v>13104</v>
      </c>
      <c r="B232" s="172" t="s">
        <v>1239</v>
      </c>
      <c r="C232" s="172" t="s">
        <v>1216</v>
      </c>
      <c r="D232" s="172" t="s">
        <v>1233</v>
      </c>
      <c r="E232" s="173">
        <v>34.5</v>
      </c>
      <c r="F232" s="173">
        <v>4</v>
      </c>
      <c r="G232" s="173">
        <v>0</v>
      </c>
      <c r="H232" s="173">
        <v>0</v>
      </c>
      <c r="I232" s="173">
        <v>0</v>
      </c>
      <c r="J232" s="173">
        <v>0</v>
      </c>
      <c r="K232" s="173">
        <v>0</v>
      </c>
      <c r="L232" s="173">
        <v>0</v>
      </c>
      <c r="M232" s="173">
        <v>2</v>
      </c>
      <c r="N232" s="173">
        <v>5.45</v>
      </c>
      <c r="O232" s="173">
        <v>15</v>
      </c>
      <c r="P232" s="173">
        <v>21.383333333333333</v>
      </c>
      <c r="Q232" s="173">
        <v>17</v>
      </c>
      <c r="R232" s="173">
        <v>26.833333333333332</v>
      </c>
      <c r="S232" s="169" t="s">
        <v>1221</v>
      </c>
      <c r="T232" s="169">
        <v>2010</v>
      </c>
      <c r="U232" s="173">
        <v>16</v>
      </c>
      <c r="V232" s="173">
        <v>9.75</v>
      </c>
      <c r="W232" s="174">
        <v>40483</v>
      </c>
    </row>
    <row r="233" spans="1:23" x14ac:dyDescent="0.2">
      <c r="A233" s="171">
        <v>13104</v>
      </c>
      <c r="B233" s="172" t="s">
        <v>1239</v>
      </c>
      <c r="C233" s="172" t="s">
        <v>1216</v>
      </c>
      <c r="D233" s="172" t="s">
        <v>1233</v>
      </c>
      <c r="E233" s="173">
        <v>34.5</v>
      </c>
      <c r="F233" s="173">
        <v>4</v>
      </c>
      <c r="G233" s="173">
        <v>1</v>
      </c>
      <c r="H233" s="173">
        <v>1</v>
      </c>
      <c r="I233" s="173">
        <v>0</v>
      </c>
      <c r="J233" s="173">
        <v>0</v>
      </c>
      <c r="K233" s="173">
        <v>0</v>
      </c>
      <c r="L233" s="173">
        <v>0</v>
      </c>
      <c r="M233" s="173">
        <v>1</v>
      </c>
      <c r="N233" s="173">
        <v>5.5333333333333332</v>
      </c>
      <c r="O233" s="173">
        <v>0</v>
      </c>
      <c r="P233" s="173">
        <v>5.6833333333333336</v>
      </c>
      <c r="Q233" s="173">
        <v>1</v>
      </c>
      <c r="R233" s="173">
        <v>11.216666666666667</v>
      </c>
      <c r="S233" s="169" t="s">
        <v>1221</v>
      </c>
      <c r="T233" s="169">
        <v>2010</v>
      </c>
      <c r="U233" s="173">
        <v>16</v>
      </c>
      <c r="V233" s="173">
        <v>9.75</v>
      </c>
      <c r="W233" s="174">
        <v>40513</v>
      </c>
    </row>
    <row r="234" spans="1:23" x14ac:dyDescent="0.2">
      <c r="A234" s="171">
        <v>13104</v>
      </c>
      <c r="B234" s="172" t="s">
        <v>1239</v>
      </c>
      <c r="C234" s="172" t="s">
        <v>1216</v>
      </c>
      <c r="D234" s="172" t="s">
        <v>1233</v>
      </c>
      <c r="E234" s="173">
        <v>34.5</v>
      </c>
      <c r="F234" s="173">
        <v>3</v>
      </c>
      <c r="G234" s="173">
        <v>9</v>
      </c>
      <c r="H234" s="173">
        <v>9</v>
      </c>
      <c r="I234" s="173">
        <v>0</v>
      </c>
      <c r="J234" s="173">
        <v>0</v>
      </c>
      <c r="K234" s="173">
        <v>0</v>
      </c>
      <c r="L234" s="173">
        <v>0</v>
      </c>
      <c r="M234" s="173">
        <v>0</v>
      </c>
      <c r="N234" s="173">
        <v>0</v>
      </c>
      <c r="O234" s="173">
        <v>0</v>
      </c>
      <c r="P234" s="173">
        <v>0</v>
      </c>
      <c r="Q234" s="173">
        <v>0</v>
      </c>
      <c r="R234" s="173">
        <v>0</v>
      </c>
      <c r="S234" s="169" t="s">
        <v>1218</v>
      </c>
      <c r="T234" s="169">
        <v>2011</v>
      </c>
      <c r="U234" s="173">
        <v>14</v>
      </c>
      <c r="V234" s="173">
        <v>10</v>
      </c>
      <c r="W234" s="174">
        <v>40544</v>
      </c>
    </row>
    <row r="235" spans="1:23" x14ac:dyDescent="0.2">
      <c r="A235" s="171">
        <v>13104</v>
      </c>
      <c r="B235" s="172" t="s">
        <v>1239</v>
      </c>
      <c r="C235" s="172" t="s">
        <v>1216</v>
      </c>
      <c r="D235" s="172" t="s">
        <v>1233</v>
      </c>
      <c r="E235" s="173">
        <v>34.5</v>
      </c>
      <c r="F235" s="173">
        <v>3</v>
      </c>
      <c r="G235" s="173">
        <v>0</v>
      </c>
      <c r="H235" s="173">
        <v>0</v>
      </c>
      <c r="I235" s="173">
        <v>0</v>
      </c>
      <c r="J235" s="173">
        <v>0</v>
      </c>
      <c r="K235" s="173">
        <v>0</v>
      </c>
      <c r="L235" s="173">
        <v>0</v>
      </c>
      <c r="M235" s="173">
        <v>2</v>
      </c>
      <c r="N235" s="173">
        <v>15.3</v>
      </c>
      <c r="O235" s="173">
        <v>14</v>
      </c>
      <c r="P235" s="173">
        <v>1.8833333333333333</v>
      </c>
      <c r="Q235" s="173">
        <v>16</v>
      </c>
      <c r="R235" s="173">
        <v>17.183333333333334</v>
      </c>
      <c r="S235" s="169" t="s">
        <v>1218</v>
      </c>
      <c r="T235" s="169">
        <v>2011</v>
      </c>
      <c r="U235" s="173">
        <v>14</v>
      </c>
      <c r="V235" s="173">
        <v>10</v>
      </c>
      <c r="W235" s="174">
        <v>40575</v>
      </c>
    </row>
    <row r="236" spans="1:23" x14ac:dyDescent="0.2">
      <c r="A236" s="171">
        <v>13104</v>
      </c>
      <c r="B236" s="172" t="s">
        <v>1239</v>
      </c>
      <c r="C236" s="172" t="s">
        <v>1216</v>
      </c>
      <c r="D236" s="172" t="s">
        <v>1233</v>
      </c>
      <c r="E236" s="173">
        <v>34.5</v>
      </c>
      <c r="F236" s="173">
        <v>3</v>
      </c>
      <c r="G236" s="173">
        <v>0</v>
      </c>
      <c r="H236" s="173">
        <v>0</v>
      </c>
      <c r="I236" s="173">
        <v>0</v>
      </c>
      <c r="J236" s="173">
        <v>0</v>
      </c>
      <c r="K236" s="173">
        <v>0</v>
      </c>
      <c r="L236" s="173">
        <v>0</v>
      </c>
      <c r="M236" s="173">
        <v>0</v>
      </c>
      <c r="N236" s="173">
        <v>0</v>
      </c>
      <c r="O236" s="173">
        <v>0</v>
      </c>
      <c r="P236" s="173">
        <v>0</v>
      </c>
      <c r="Q236" s="173">
        <v>0</v>
      </c>
      <c r="R236" s="173">
        <v>0</v>
      </c>
      <c r="S236" s="169" t="s">
        <v>1218</v>
      </c>
      <c r="T236" s="169">
        <v>2011</v>
      </c>
      <c r="U236" s="173">
        <v>14</v>
      </c>
      <c r="V236" s="173">
        <v>10</v>
      </c>
      <c r="W236" s="174">
        <v>40603</v>
      </c>
    </row>
    <row r="237" spans="1:23" x14ac:dyDescent="0.2">
      <c r="A237" s="171">
        <v>13104</v>
      </c>
      <c r="B237" s="172" t="s">
        <v>1239</v>
      </c>
      <c r="C237" s="172" t="s">
        <v>1216</v>
      </c>
      <c r="D237" s="172" t="s">
        <v>1233</v>
      </c>
      <c r="E237" s="173">
        <v>34.5</v>
      </c>
      <c r="F237" s="173">
        <v>3</v>
      </c>
      <c r="G237" s="173">
        <v>1</v>
      </c>
      <c r="H237" s="173">
        <v>1</v>
      </c>
      <c r="I237" s="173">
        <v>0</v>
      </c>
      <c r="J237" s="173">
        <v>0</v>
      </c>
      <c r="K237" s="173">
        <v>0</v>
      </c>
      <c r="L237" s="173">
        <v>0</v>
      </c>
      <c r="M237" s="173">
        <v>0</v>
      </c>
      <c r="N237" s="173">
        <v>0</v>
      </c>
      <c r="O237" s="173">
        <v>17</v>
      </c>
      <c r="P237" s="173">
        <v>31.483333333333334</v>
      </c>
      <c r="Q237" s="173">
        <v>17</v>
      </c>
      <c r="R237" s="173">
        <v>31.483333333333334</v>
      </c>
      <c r="S237" s="169" t="s">
        <v>1219</v>
      </c>
      <c r="T237" s="169">
        <v>2011</v>
      </c>
      <c r="U237" s="173">
        <v>14</v>
      </c>
      <c r="V237" s="173">
        <v>8</v>
      </c>
      <c r="W237" s="174">
        <v>40634</v>
      </c>
    </row>
    <row r="238" spans="1:23" x14ac:dyDescent="0.2">
      <c r="A238" s="171">
        <v>13104</v>
      </c>
      <c r="B238" s="172" t="s">
        <v>1239</v>
      </c>
      <c r="C238" s="172" t="s">
        <v>1216</v>
      </c>
      <c r="D238" s="172" t="s">
        <v>1233</v>
      </c>
      <c r="E238" s="173">
        <v>34.5</v>
      </c>
      <c r="F238" s="173">
        <v>3</v>
      </c>
      <c r="G238" s="173">
        <v>0</v>
      </c>
      <c r="H238" s="173">
        <v>0</v>
      </c>
      <c r="I238" s="173">
        <v>0</v>
      </c>
      <c r="J238" s="173">
        <v>0</v>
      </c>
      <c r="K238" s="173">
        <v>0</v>
      </c>
      <c r="L238" s="173">
        <v>0</v>
      </c>
      <c r="M238" s="173">
        <v>1</v>
      </c>
      <c r="N238" s="173">
        <v>15.933333333333334</v>
      </c>
      <c r="O238" s="173">
        <v>10</v>
      </c>
      <c r="P238" s="173">
        <v>13.383333333333333</v>
      </c>
      <c r="Q238" s="173">
        <v>11</v>
      </c>
      <c r="R238" s="173">
        <v>29.316666666666666</v>
      </c>
      <c r="S238" s="169" t="s">
        <v>1219</v>
      </c>
      <c r="T238" s="169">
        <v>2011</v>
      </c>
      <c r="U238" s="173">
        <v>14</v>
      </c>
      <c r="V238" s="173">
        <v>8</v>
      </c>
      <c r="W238" s="174">
        <v>40664</v>
      </c>
    </row>
    <row r="239" spans="1:23" x14ac:dyDescent="0.2">
      <c r="A239" s="171">
        <v>13104</v>
      </c>
      <c r="B239" s="172" t="s">
        <v>1239</v>
      </c>
      <c r="C239" s="172" t="s">
        <v>1216</v>
      </c>
      <c r="D239" s="172" t="s">
        <v>1233</v>
      </c>
      <c r="E239" s="173">
        <v>34.5</v>
      </c>
      <c r="F239" s="173">
        <v>3</v>
      </c>
      <c r="G239" s="173">
        <v>0</v>
      </c>
      <c r="H239" s="173">
        <v>0</v>
      </c>
      <c r="I239" s="173">
        <v>0</v>
      </c>
      <c r="J239" s="173">
        <v>0</v>
      </c>
      <c r="K239" s="173">
        <v>0</v>
      </c>
      <c r="L239" s="173">
        <v>0</v>
      </c>
      <c r="M239" s="173">
        <v>0</v>
      </c>
      <c r="N239" s="173">
        <v>0</v>
      </c>
      <c r="O239" s="173">
        <v>7</v>
      </c>
      <c r="P239" s="173">
        <v>14.083333333333334</v>
      </c>
      <c r="Q239" s="173">
        <v>7</v>
      </c>
      <c r="R239" s="173">
        <v>14.083333333333334</v>
      </c>
      <c r="S239" s="169" t="s">
        <v>1219</v>
      </c>
      <c r="T239" s="169">
        <v>2011</v>
      </c>
      <c r="U239" s="173">
        <v>14</v>
      </c>
      <c r="V239" s="173">
        <v>8</v>
      </c>
      <c r="W239" s="174">
        <v>40695</v>
      </c>
    </row>
    <row r="240" spans="1:23" x14ac:dyDescent="0.2">
      <c r="A240" s="171">
        <v>13104</v>
      </c>
      <c r="B240" s="172" t="s">
        <v>1239</v>
      </c>
      <c r="C240" s="172" t="s">
        <v>1216</v>
      </c>
      <c r="D240" s="172" t="s">
        <v>1233</v>
      </c>
      <c r="E240" s="173">
        <v>34.5</v>
      </c>
      <c r="F240" s="173">
        <v>3</v>
      </c>
      <c r="G240" s="173">
        <v>0</v>
      </c>
      <c r="H240" s="173">
        <v>0</v>
      </c>
      <c r="I240" s="173">
        <v>0</v>
      </c>
      <c r="J240" s="173">
        <v>0</v>
      </c>
      <c r="K240" s="173">
        <v>0</v>
      </c>
      <c r="L240" s="173">
        <v>0</v>
      </c>
      <c r="M240" s="173">
        <v>0</v>
      </c>
      <c r="N240" s="173">
        <v>0</v>
      </c>
      <c r="O240" s="173">
        <v>12</v>
      </c>
      <c r="P240" s="173">
        <v>44.516666666666666</v>
      </c>
      <c r="Q240" s="173">
        <v>12</v>
      </c>
      <c r="R240" s="173">
        <v>44.516666666666666</v>
      </c>
      <c r="S240" s="169" t="s">
        <v>1220</v>
      </c>
      <c r="T240" s="169">
        <v>2011</v>
      </c>
      <c r="U240" s="173">
        <v>10</v>
      </c>
      <c r="V240" s="173">
        <v>4.5</v>
      </c>
      <c r="W240" s="174">
        <v>40725</v>
      </c>
    </row>
    <row r="241" spans="1:23" x14ac:dyDescent="0.2">
      <c r="A241" s="171">
        <v>13104</v>
      </c>
      <c r="B241" s="172" t="s">
        <v>1239</v>
      </c>
      <c r="C241" s="172" t="s">
        <v>1216</v>
      </c>
      <c r="D241" s="172" t="s">
        <v>1233</v>
      </c>
      <c r="E241" s="173">
        <v>34.5</v>
      </c>
      <c r="F241" s="173">
        <v>3</v>
      </c>
      <c r="G241" s="173">
        <v>0</v>
      </c>
      <c r="H241" s="173">
        <v>0</v>
      </c>
      <c r="I241" s="173">
        <v>0</v>
      </c>
      <c r="J241" s="173">
        <v>0</v>
      </c>
      <c r="K241" s="173">
        <v>0</v>
      </c>
      <c r="L241" s="173">
        <v>0</v>
      </c>
      <c r="M241" s="173">
        <v>1</v>
      </c>
      <c r="N241" s="173">
        <v>7.9833333333333334</v>
      </c>
      <c r="O241" s="173">
        <v>8</v>
      </c>
      <c r="P241" s="173">
        <v>28.85</v>
      </c>
      <c r="Q241" s="173">
        <v>9</v>
      </c>
      <c r="R241" s="173">
        <v>36.833333333333336</v>
      </c>
      <c r="S241" s="169" t="s">
        <v>1220</v>
      </c>
      <c r="T241" s="169">
        <v>2011</v>
      </c>
      <c r="U241" s="173">
        <v>10</v>
      </c>
      <c r="V241" s="173">
        <v>4.5</v>
      </c>
      <c r="W241" s="174">
        <v>40756</v>
      </c>
    </row>
  </sheetData>
  <autoFilter ref="A1:W1"/>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BW51"/>
  <sheetViews>
    <sheetView showGridLines="0" topLeftCell="A25" zoomScale="55" zoomScaleNormal="55" workbookViewId="0">
      <selection activeCell="BT69" sqref="BT69"/>
    </sheetView>
  </sheetViews>
  <sheetFormatPr baseColWidth="10" defaultRowHeight="15" outlineLevelCol="1" x14ac:dyDescent="0.25"/>
  <cols>
    <col min="4" max="4" width="17" bestFit="1" customWidth="1"/>
    <col min="5" max="32" width="11.42578125" hidden="1" customWidth="1" outlineLevel="1"/>
    <col min="33" max="33" width="11.42578125" collapsed="1"/>
    <col min="34" max="34" width="12.5703125" bestFit="1" customWidth="1"/>
    <col min="36" max="62" width="11.42578125" hidden="1" customWidth="1" outlineLevel="1"/>
    <col min="63" max="63" width="11.42578125" collapsed="1"/>
    <col min="72" max="72" width="18.28515625" bestFit="1" customWidth="1"/>
  </cols>
  <sheetData>
    <row r="2" spans="2:75" ht="15.75" x14ac:dyDescent="0.25">
      <c r="B2" s="139" t="s">
        <v>1240</v>
      </c>
      <c r="C2" s="139"/>
      <c r="AH2" s="140" t="s">
        <v>1182</v>
      </c>
    </row>
    <row r="3" spans="2:75" ht="15.75" x14ac:dyDescent="0.25">
      <c r="B3" s="141" t="s">
        <v>1241</v>
      </c>
      <c r="AH3" s="142" t="s">
        <v>8</v>
      </c>
    </row>
    <row r="4" spans="2:75" x14ac:dyDescent="0.25">
      <c r="B4" t="s">
        <v>1242</v>
      </c>
      <c r="AC4" s="143"/>
      <c r="AH4" s="144">
        <v>277328</v>
      </c>
    </row>
    <row r="6" spans="2:75" ht="15.75" x14ac:dyDescent="0.25">
      <c r="B6" s="745" t="s">
        <v>1243</v>
      </c>
      <c r="C6" s="745"/>
      <c r="D6" s="745"/>
      <c r="E6" s="742" t="s">
        <v>1244</v>
      </c>
      <c r="F6" s="743"/>
      <c r="G6" s="743"/>
      <c r="H6" s="743"/>
      <c r="I6" s="743"/>
      <c r="J6" s="743"/>
      <c r="K6" s="743"/>
      <c r="L6" s="743"/>
      <c r="M6" s="743"/>
      <c r="N6" s="743"/>
      <c r="O6" s="743"/>
      <c r="P6" s="744"/>
      <c r="Q6" s="746" t="s">
        <v>1245</v>
      </c>
      <c r="R6" s="747"/>
      <c r="S6" s="747"/>
      <c r="T6" s="747"/>
      <c r="U6" s="747"/>
      <c r="V6" s="747"/>
      <c r="W6" s="747"/>
      <c r="X6" s="747"/>
      <c r="Y6" s="747"/>
      <c r="Z6" s="747"/>
      <c r="AA6" s="747"/>
      <c r="AB6" s="748"/>
      <c r="AC6" s="749"/>
      <c r="AD6" s="749"/>
      <c r="AE6" s="749"/>
      <c r="AF6" s="740" t="s">
        <v>1246</v>
      </c>
      <c r="AH6" s="145" t="s">
        <v>1182</v>
      </c>
      <c r="AJ6" s="742" t="s">
        <v>1247</v>
      </c>
      <c r="AK6" s="743"/>
      <c r="AL6" s="743"/>
      <c r="AM6" s="743"/>
      <c r="AN6" s="743"/>
      <c r="AO6" s="743"/>
      <c r="AP6" s="743"/>
      <c r="AQ6" s="743"/>
      <c r="AR6" s="743"/>
      <c r="AS6" s="743"/>
      <c r="AT6" s="743"/>
      <c r="AU6" s="744"/>
      <c r="AV6" s="746" t="s">
        <v>1248</v>
      </c>
      <c r="AW6" s="747"/>
      <c r="AX6" s="747"/>
      <c r="AY6" s="747"/>
      <c r="AZ6" s="747"/>
      <c r="BA6" s="747"/>
      <c r="BB6" s="747"/>
      <c r="BC6" s="747"/>
      <c r="BD6" s="747"/>
      <c r="BE6" s="747"/>
      <c r="BF6" s="747"/>
      <c r="BG6" s="748"/>
      <c r="BH6" s="751" t="s">
        <v>1249</v>
      </c>
      <c r="BI6" s="749"/>
      <c r="BJ6" s="752"/>
      <c r="BL6" s="753" t="s">
        <v>1250</v>
      </c>
      <c r="BM6" s="753"/>
      <c r="BN6" s="753"/>
      <c r="BO6" s="753"/>
      <c r="BP6" s="750" t="s">
        <v>1251</v>
      </c>
      <c r="BQ6" s="750"/>
      <c r="BR6" s="750"/>
      <c r="BS6" s="750"/>
      <c r="BT6" s="146" t="s">
        <v>1252</v>
      </c>
      <c r="BU6" s="147" t="s">
        <v>1253</v>
      </c>
    </row>
    <row r="7" spans="2:75" ht="15.75" x14ac:dyDescent="0.25">
      <c r="B7" s="148" t="s">
        <v>1254</v>
      </c>
      <c r="C7" s="148" t="s">
        <v>1255</v>
      </c>
      <c r="D7" s="148" t="s">
        <v>1174</v>
      </c>
      <c r="E7" s="148" t="s">
        <v>1256</v>
      </c>
      <c r="F7" s="148" t="s">
        <v>1257</v>
      </c>
      <c r="G7" s="148" t="s">
        <v>1258</v>
      </c>
      <c r="H7" s="148" t="s">
        <v>1259</v>
      </c>
      <c r="I7" s="148" t="s">
        <v>1260</v>
      </c>
      <c r="J7" s="148" t="s">
        <v>1261</v>
      </c>
      <c r="K7" s="148" t="s">
        <v>1262</v>
      </c>
      <c r="L7" s="148" t="s">
        <v>1263</v>
      </c>
      <c r="M7" s="148" t="s">
        <v>1264</v>
      </c>
      <c r="N7" s="148" t="s">
        <v>1265</v>
      </c>
      <c r="O7" s="148" t="s">
        <v>1266</v>
      </c>
      <c r="P7" s="148" t="s">
        <v>1267</v>
      </c>
      <c r="Q7" s="148" t="s">
        <v>1256</v>
      </c>
      <c r="R7" s="148" t="s">
        <v>1257</v>
      </c>
      <c r="S7" s="148" t="s">
        <v>1258</v>
      </c>
      <c r="T7" s="148" t="s">
        <v>1259</v>
      </c>
      <c r="U7" s="148" t="s">
        <v>1260</v>
      </c>
      <c r="V7" s="148" t="s">
        <v>1261</v>
      </c>
      <c r="W7" s="148" t="s">
        <v>1262</v>
      </c>
      <c r="X7" s="148" t="s">
        <v>1263</v>
      </c>
      <c r="Y7" s="148" t="s">
        <v>1264</v>
      </c>
      <c r="Z7" s="148" t="s">
        <v>1265</v>
      </c>
      <c r="AA7" s="148" t="s">
        <v>1266</v>
      </c>
      <c r="AB7" s="148" t="s">
        <v>1267</v>
      </c>
      <c r="AC7" s="149" t="s">
        <v>1268</v>
      </c>
      <c r="AD7" s="149" t="s">
        <v>1269</v>
      </c>
      <c r="AE7" s="149" t="s">
        <v>1270</v>
      </c>
      <c r="AF7" s="741"/>
      <c r="AH7" s="142" t="s">
        <v>1271</v>
      </c>
      <c r="AJ7" s="148" t="s">
        <v>1256</v>
      </c>
      <c r="AK7" s="148" t="s">
        <v>1257</v>
      </c>
      <c r="AL7" s="148" t="s">
        <v>1258</v>
      </c>
      <c r="AM7" s="148" t="s">
        <v>1259</v>
      </c>
      <c r="AN7" s="148" t="s">
        <v>1260</v>
      </c>
      <c r="AO7" s="148" t="s">
        <v>1261</v>
      </c>
      <c r="AP7" s="148" t="s">
        <v>1262</v>
      </c>
      <c r="AQ7" s="148" t="s">
        <v>1263</v>
      </c>
      <c r="AR7" s="148" t="s">
        <v>1264</v>
      </c>
      <c r="AS7" s="148" t="s">
        <v>1265</v>
      </c>
      <c r="AT7" s="148" t="s">
        <v>1266</v>
      </c>
      <c r="AU7" s="148" t="s">
        <v>1267</v>
      </c>
      <c r="AV7" s="148" t="s">
        <v>1256</v>
      </c>
      <c r="AW7" s="148" t="s">
        <v>1257</v>
      </c>
      <c r="AX7" s="148" t="s">
        <v>1258</v>
      </c>
      <c r="AY7" s="148" t="s">
        <v>1259</v>
      </c>
      <c r="AZ7" s="148" t="s">
        <v>1260</v>
      </c>
      <c r="BA7" s="148" t="s">
        <v>1261</v>
      </c>
      <c r="BB7" s="148" t="s">
        <v>1262</v>
      </c>
      <c r="BC7" s="148" t="s">
        <v>1263</v>
      </c>
      <c r="BD7" s="148" t="s">
        <v>1264</v>
      </c>
      <c r="BE7" s="148" t="s">
        <v>1265</v>
      </c>
      <c r="BF7" s="148" t="s">
        <v>1266</v>
      </c>
      <c r="BG7" s="148" t="s">
        <v>1267</v>
      </c>
      <c r="BH7" s="149" t="s">
        <v>1268</v>
      </c>
      <c r="BI7" s="149" t="s">
        <v>1269</v>
      </c>
      <c r="BJ7" s="149" t="s">
        <v>1270</v>
      </c>
      <c r="BL7" s="150" t="s">
        <v>1272</v>
      </c>
      <c r="BM7" s="150" t="s">
        <v>1273</v>
      </c>
      <c r="BN7" s="150" t="s">
        <v>1274</v>
      </c>
      <c r="BO7" s="150" t="s">
        <v>1275</v>
      </c>
      <c r="BP7" s="150" t="s">
        <v>1272</v>
      </c>
      <c r="BQ7" s="150" t="s">
        <v>1273</v>
      </c>
      <c r="BR7" s="150" t="s">
        <v>1274</v>
      </c>
      <c r="BS7" s="150" t="s">
        <v>1275</v>
      </c>
      <c r="BT7" s="150" t="s">
        <v>1272</v>
      </c>
      <c r="BU7" s="150" t="s">
        <v>1276</v>
      </c>
    </row>
    <row r="8" spans="2:75" x14ac:dyDescent="0.25">
      <c r="B8" s="151">
        <v>20106</v>
      </c>
      <c r="C8" s="151">
        <v>4</v>
      </c>
      <c r="D8" s="151" t="s">
        <v>1277</v>
      </c>
      <c r="E8" s="152">
        <v>0.26842781653912301</v>
      </c>
      <c r="F8" s="152">
        <v>0.41941846334237992</v>
      </c>
      <c r="G8" s="152">
        <v>0.30198129360651343</v>
      </c>
      <c r="H8" s="152">
        <v>0.41941846334237992</v>
      </c>
      <c r="I8" s="152">
        <v>0.16776738533695187</v>
      </c>
      <c r="J8" s="152">
        <v>0.1342139082695615</v>
      </c>
      <c r="K8" s="152">
        <v>0.18454412387064706</v>
      </c>
      <c r="L8" s="152">
        <v>0.21809760093803743</v>
      </c>
      <c r="M8" s="152">
        <v>0.18454412387064706</v>
      </c>
      <c r="N8" s="152">
        <v>0.52007889454455114</v>
      </c>
      <c r="O8" s="152">
        <v>0.33553477067390386</v>
      </c>
      <c r="P8" s="152">
        <v>0.33553477067390386</v>
      </c>
      <c r="Q8" s="152">
        <v>0.15099065099999998</v>
      </c>
      <c r="R8" s="152">
        <v>0.18454412899999995</v>
      </c>
      <c r="S8" s="152">
        <v>0.26842782399999987</v>
      </c>
      <c r="T8" s="152">
        <v>0.20132086799999993</v>
      </c>
      <c r="U8" s="152">
        <v>0.2348743459999999</v>
      </c>
      <c r="V8" s="152">
        <v>0.28520456299999986</v>
      </c>
      <c r="W8" s="152">
        <v>0.38586499699999977</v>
      </c>
      <c r="X8" s="152">
        <v>0.25165108499999989</v>
      </c>
      <c r="Y8" s="152">
        <v>0.3523115189999998</v>
      </c>
      <c r="Z8" s="152">
        <v>0.45297195299999971</v>
      </c>
      <c r="AA8" s="152">
        <v>0.28520456299999986</v>
      </c>
      <c r="AB8" s="152">
        <v>0.35244905974386515</v>
      </c>
      <c r="AC8" s="153">
        <v>0.28074315199999994</v>
      </c>
      <c r="AD8" s="154">
        <v>0.29679495478167595</v>
      </c>
      <c r="AE8" s="155">
        <v>0.2082303308415365</v>
      </c>
      <c r="AF8" s="156">
        <v>0.78576843762321236</v>
      </c>
      <c r="AH8" s="157">
        <v>4803</v>
      </c>
      <c r="AJ8" s="157">
        <v>15.499177494308121</v>
      </c>
      <c r="AK8" s="157">
        <v>24.21746483485645</v>
      </c>
      <c r="AL8" s="157">
        <v>17.436574681096641</v>
      </c>
      <c r="AM8" s="157">
        <v>24.21746483485645</v>
      </c>
      <c r="AN8" s="157">
        <v>9.6869859339425748</v>
      </c>
      <c r="AO8" s="157">
        <v>7.7495887471540605</v>
      </c>
      <c r="AP8" s="157">
        <v>10.655684527336833</v>
      </c>
      <c r="AQ8" s="157">
        <v>12.593081714125347</v>
      </c>
      <c r="AR8" s="157">
        <v>10.655684527336833</v>
      </c>
      <c r="AS8" s="157">
        <v>30.029656395222002</v>
      </c>
      <c r="AT8" s="157">
        <v>19.373971867885157</v>
      </c>
      <c r="AU8" s="157">
        <v>19.373971867885157</v>
      </c>
      <c r="AV8" s="157">
        <v>8.7182875828707047</v>
      </c>
      <c r="AW8" s="157">
        <v>10.655684823508636</v>
      </c>
      <c r="AX8" s="157">
        <v>15.499177925103469</v>
      </c>
      <c r="AY8" s="157">
        <v>11.624383443827604</v>
      </c>
      <c r="AZ8" s="157">
        <v>13.561780684465537</v>
      </c>
      <c r="BA8" s="157">
        <v>16.467876545422438</v>
      </c>
      <c r="BB8" s="157">
        <v>22.280068267336233</v>
      </c>
      <c r="BC8" s="157">
        <v>14.530479304784503</v>
      </c>
      <c r="BD8" s="157">
        <v>20.342671026698302</v>
      </c>
      <c r="BE8" s="157">
        <v>26.1548627486121</v>
      </c>
      <c r="BF8" s="157">
        <v>16.467876545422438</v>
      </c>
      <c r="BG8" s="157">
        <v>20.350612708858346</v>
      </c>
      <c r="BH8" s="157">
        <v>16.210272091995833</v>
      </c>
      <c r="BI8" s="157">
        <v>17.137112475472126</v>
      </c>
      <c r="BJ8" s="157">
        <v>12.023339827528968</v>
      </c>
      <c r="BL8" s="158">
        <v>57.153217010261216</v>
      </c>
      <c r="BM8" s="158">
        <v>41.654039515953087</v>
      </c>
      <c r="BN8" s="158">
        <v>33.904450768799009</v>
      </c>
      <c r="BO8" s="158">
        <v>68.777600130992312</v>
      </c>
      <c r="BP8" s="158">
        <v>34.873150331482812</v>
      </c>
      <c r="BQ8" s="158">
        <v>41.654040673715585</v>
      </c>
      <c r="BR8" s="158">
        <v>57.153218598819038</v>
      </c>
      <c r="BS8" s="158">
        <v>62.973352002892881</v>
      </c>
      <c r="BT8" s="158">
        <v>45.370724394996927</v>
      </c>
      <c r="BU8" s="158">
        <v>193.20865553763454</v>
      </c>
      <c r="BW8" s="163"/>
    </row>
    <row r="9" spans="2:75" x14ac:dyDescent="0.25">
      <c r="B9" s="159">
        <v>23102</v>
      </c>
      <c r="C9" s="159">
        <v>3</v>
      </c>
      <c r="D9" s="159" t="s">
        <v>1278</v>
      </c>
      <c r="E9" s="152">
        <v>0.22077271615435701</v>
      </c>
      <c r="F9" s="152">
        <v>0.28021152434976088</v>
      </c>
      <c r="G9" s="152">
        <v>0.67930066509032849</v>
      </c>
      <c r="H9" s="152">
        <v>0.48400172387685986</v>
      </c>
      <c r="I9" s="152">
        <v>0.33965033254516475</v>
      </c>
      <c r="J9" s="152">
        <v>0.11887761639080754</v>
      </c>
      <c r="K9" s="152">
        <v>0.16133390795895314</v>
      </c>
      <c r="L9" s="152">
        <v>0.24624649109524438</v>
      </c>
      <c r="M9" s="152">
        <v>0.33115907423153562</v>
      </c>
      <c r="N9" s="152">
        <v>0.7047744400312157</v>
      </c>
      <c r="O9" s="152">
        <v>0.51796675713137619</v>
      </c>
      <c r="P9" s="152">
        <v>0.51796675713137619</v>
      </c>
      <c r="Q9" s="152">
        <v>0.18680767600000001</v>
      </c>
      <c r="R9" s="152">
        <v>0.16982516</v>
      </c>
      <c r="S9" s="152">
        <v>0.26322899799999999</v>
      </c>
      <c r="T9" s="152">
        <v>0.23775522400000001</v>
      </c>
      <c r="U9" s="152">
        <v>0.23775522400000001</v>
      </c>
      <c r="V9" s="152">
        <v>7.6421322E-2</v>
      </c>
      <c r="W9" s="152">
        <v>0.178316418</v>
      </c>
      <c r="X9" s="152">
        <v>0.144351386</v>
      </c>
      <c r="Y9" s="152">
        <v>0.22926396600000001</v>
      </c>
      <c r="Z9" s="152">
        <v>0.38210661000000001</v>
      </c>
      <c r="AA9" s="152">
        <v>0.22077270800000001</v>
      </c>
      <c r="AB9" s="152">
        <v>0.30920245526343321</v>
      </c>
      <c r="AC9" s="153">
        <v>0.14056065000000004</v>
      </c>
      <c r="AD9" s="154">
        <v>0.36323352628950806</v>
      </c>
      <c r="AE9" s="155">
        <v>0.19653985641329283</v>
      </c>
      <c r="AF9" s="156">
        <v>0.70033403270280092</v>
      </c>
      <c r="AH9" s="157">
        <v>2675</v>
      </c>
      <c r="AJ9" s="157">
        <v>22.888394701179632</v>
      </c>
      <c r="AK9" s="157">
        <v>29.050654813035692</v>
      </c>
      <c r="AL9" s="157">
        <v>70.425829849783412</v>
      </c>
      <c r="AM9" s="157">
        <v>50.178403767970764</v>
      </c>
      <c r="AN9" s="157">
        <v>35.212914924891756</v>
      </c>
      <c r="AO9" s="157">
        <v>12.324520223712103</v>
      </c>
      <c r="AP9" s="157">
        <v>16.726134589323571</v>
      </c>
      <c r="AQ9" s="157">
        <v>25.529363320546516</v>
      </c>
      <c r="AR9" s="157">
        <v>34.33259205176946</v>
      </c>
      <c r="AS9" s="157">
        <v>73.066798469150285</v>
      </c>
      <c r="AT9" s="157">
        <v>53.699695260459926</v>
      </c>
      <c r="AU9" s="157">
        <v>53.699695260459926</v>
      </c>
      <c r="AV9" s="157">
        <v>19.36710249335626</v>
      </c>
      <c r="AW9" s="157">
        <v>17.606456812142056</v>
      </c>
      <c r="AX9" s="157">
        <v>27.290008058820185</v>
      </c>
      <c r="AY9" s="157">
        <v>24.649039536998878</v>
      </c>
      <c r="AZ9" s="157">
        <v>24.649039536998878</v>
      </c>
      <c r="BA9" s="157">
        <v>7.9229055654639255</v>
      </c>
      <c r="BB9" s="157">
        <v>18.48677965274916</v>
      </c>
      <c r="BC9" s="157">
        <v>14.965488290320748</v>
      </c>
      <c r="BD9" s="157">
        <v>23.768716696391778</v>
      </c>
      <c r="BE9" s="157">
        <v>39.614527827319627</v>
      </c>
      <c r="BF9" s="157">
        <v>22.888393855784674</v>
      </c>
      <c r="BG9" s="157">
        <v>32.056261126466325</v>
      </c>
      <c r="BH9" s="157">
        <v>14.572487455401875</v>
      </c>
      <c r="BI9" s="157">
        <v>37.657879393950161</v>
      </c>
      <c r="BJ9" s="157">
        <v>20.376076747433896</v>
      </c>
      <c r="BL9" s="158">
        <v>122.36487936399874</v>
      </c>
      <c r="BM9" s="158">
        <v>97.715838916574612</v>
      </c>
      <c r="BN9" s="158">
        <v>76.588089961639554</v>
      </c>
      <c r="BO9" s="158">
        <v>180.46618899007012</v>
      </c>
      <c r="BP9" s="158">
        <v>64.263567364318504</v>
      </c>
      <c r="BQ9" s="158">
        <v>57.220984639461683</v>
      </c>
      <c r="BR9" s="158">
        <v>57.220984639461683</v>
      </c>
      <c r="BS9" s="158">
        <v>94.559182809570629</v>
      </c>
      <c r="BT9" s="158">
        <v>72.606443596785937</v>
      </c>
      <c r="BU9" s="158">
        <v>346.94183035741315</v>
      </c>
      <c r="BW9" s="163"/>
    </row>
    <row r="10" spans="2:75" x14ac:dyDescent="0.25">
      <c r="B10" s="160">
        <v>19102</v>
      </c>
      <c r="C10" s="160">
        <v>3</v>
      </c>
      <c r="D10" s="160" t="s">
        <v>1279</v>
      </c>
      <c r="E10" s="152">
        <v>0.25044358768282232</v>
      </c>
      <c r="F10" s="152">
        <v>0.22767598880256573</v>
      </c>
      <c r="G10" s="152">
        <v>0.56918997200641419</v>
      </c>
      <c r="H10" s="152">
        <v>0.12522179384141108</v>
      </c>
      <c r="I10" s="152">
        <v>0.25044358768282232</v>
      </c>
      <c r="J10" s="152">
        <v>0.14798939272166767</v>
      </c>
      <c r="K10" s="152">
        <v>0.17075699160192426</v>
      </c>
      <c r="L10" s="152">
        <v>0.28459498600320721</v>
      </c>
      <c r="M10" s="152">
        <v>0.15937319216179596</v>
      </c>
      <c r="N10" s="152">
        <v>0.25044358768282232</v>
      </c>
      <c r="O10" s="152">
        <v>0.26182738712295062</v>
      </c>
      <c r="P10" s="152">
        <v>0.26182738712295062</v>
      </c>
      <c r="Q10" s="152">
        <v>7.9686593E-2</v>
      </c>
      <c r="R10" s="152">
        <v>7.9686593E-2</v>
      </c>
      <c r="S10" s="152">
        <v>0.159373186</v>
      </c>
      <c r="T10" s="152">
        <v>0.182140784</v>
      </c>
      <c r="U10" s="152">
        <v>0.125221789</v>
      </c>
      <c r="V10" s="152">
        <v>7.9686593E-2</v>
      </c>
      <c r="W10" s="152">
        <v>0.193524583</v>
      </c>
      <c r="X10" s="152">
        <v>0.170756985</v>
      </c>
      <c r="Y10" s="152">
        <v>0.136605588</v>
      </c>
      <c r="Z10" s="152">
        <v>0.170756985</v>
      </c>
      <c r="AA10" s="152">
        <v>0.204908382</v>
      </c>
      <c r="AB10" s="152">
        <v>0.19132248544192787</v>
      </c>
      <c r="AC10" s="153">
        <v>0.19864544199999992</v>
      </c>
      <c r="AD10" s="154">
        <v>0.2910987405448392</v>
      </c>
      <c r="AE10" s="155">
        <v>0.34816075790096945</v>
      </c>
      <c r="AF10" s="156">
        <v>0.83790494044580854</v>
      </c>
      <c r="AH10" s="157">
        <v>3171</v>
      </c>
      <c r="AJ10" s="157">
        <v>21.903191196752363</v>
      </c>
      <c r="AK10" s="157">
        <v>19.911991997047604</v>
      </c>
      <c r="AL10" s="157">
        <v>49.779979992618991</v>
      </c>
      <c r="AM10" s="157">
        <v>10.951595598376175</v>
      </c>
      <c r="AN10" s="157">
        <v>21.903191196752363</v>
      </c>
      <c r="AO10" s="157">
        <v>12.942794798080937</v>
      </c>
      <c r="AP10" s="157">
        <v>14.933993997785699</v>
      </c>
      <c r="AQ10" s="157">
        <v>24.889989996309506</v>
      </c>
      <c r="AR10" s="157">
        <v>13.938394397933317</v>
      </c>
      <c r="AS10" s="157">
        <v>21.903191196752363</v>
      </c>
      <c r="AT10" s="157">
        <v>22.898790796604747</v>
      </c>
      <c r="AU10" s="157">
        <v>22.898790796604747</v>
      </c>
      <c r="AV10" s="157">
        <v>6.9691969295187635</v>
      </c>
      <c r="AW10" s="157">
        <v>6.9691969295187635</v>
      </c>
      <c r="AX10" s="157">
        <v>13.938393859037527</v>
      </c>
      <c r="AY10" s="157">
        <v>15.929592981757173</v>
      </c>
      <c r="AZ10" s="157">
        <v>10.951595174958058</v>
      </c>
      <c r="BA10" s="157">
        <v>6.9691969295187635</v>
      </c>
      <c r="BB10" s="157">
        <v>16.925192543116999</v>
      </c>
      <c r="BC10" s="157">
        <v>14.933993420397352</v>
      </c>
      <c r="BD10" s="157">
        <v>11.947194736317881</v>
      </c>
      <c r="BE10" s="157">
        <v>14.933993420397352</v>
      </c>
      <c r="BF10" s="157">
        <v>17.920792104476821</v>
      </c>
      <c r="BG10" s="157">
        <v>16.732602410166816</v>
      </c>
      <c r="BH10" s="157">
        <v>17.373050501096177</v>
      </c>
      <c r="BI10" s="157">
        <v>25.458792657779618</v>
      </c>
      <c r="BJ10" s="157">
        <v>30.44929885435511</v>
      </c>
      <c r="BL10" s="158">
        <v>91.595163186418958</v>
      </c>
      <c r="BM10" s="158">
        <v>45.797581593209479</v>
      </c>
      <c r="BN10" s="158">
        <v>53.762378392028516</v>
      </c>
      <c r="BO10" s="158">
        <v>67.70077278996186</v>
      </c>
      <c r="BP10" s="158">
        <v>27.876787718075054</v>
      </c>
      <c r="BQ10" s="158">
        <v>33.850385086233999</v>
      </c>
      <c r="BR10" s="158">
        <v>43.806380699832232</v>
      </c>
      <c r="BS10" s="158">
        <v>49.587387935040994</v>
      </c>
      <c r="BT10" s="158">
        <v>73.281142013230905</v>
      </c>
      <c r="BU10" s="158">
        <v>235.70046848457491</v>
      </c>
    </row>
    <row r="11" spans="2:75" x14ac:dyDescent="0.25">
      <c r="B11" s="159">
        <v>26102</v>
      </c>
      <c r="C11" s="159">
        <v>3</v>
      </c>
      <c r="D11" s="159" t="s">
        <v>1280</v>
      </c>
      <c r="E11" s="152">
        <v>0.11636557060712298</v>
      </c>
      <c r="F11" s="152">
        <v>0.24642120834449591</v>
      </c>
      <c r="G11" s="152">
        <v>0.30118147686549501</v>
      </c>
      <c r="H11" s="152">
        <v>0.23273114121424612</v>
      </c>
      <c r="I11" s="152">
        <v>0.15743577199787231</v>
      </c>
      <c r="J11" s="152">
        <v>8.2140402781498589E-2</v>
      </c>
      <c r="K11" s="152">
        <v>0.1095205370419981</v>
      </c>
      <c r="L11" s="152">
        <v>0.14374570486762253</v>
      </c>
      <c r="M11" s="152">
        <v>0.17797087269324699</v>
      </c>
      <c r="N11" s="152">
        <v>0.19850597338862166</v>
      </c>
      <c r="O11" s="152">
        <v>0.13005563773737275</v>
      </c>
      <c r="P11" s="152">
        <v>0.13005563773737275</v>
      </c>
      <c r="Q11" s="152">
        <v>8.2140407999999998E-2</v>
      </c>
      <c r="R11" s="152">
        <v>0.20535102</v>
      </c>
      <c r="S11" s="152">
        <v>6.1605305999999999E-2</v>
      </c>
      <c r="T11" s="152">
        <v>6.8450339999999998E-2</v>
      </c>
      <c r="U11" s="152">
        <v>0.10267551</v>
      </c>
      <c r="V11" s="152">
        <v>0.116365578</v>
      </c>
      <c r="W11" s="152">
        <v>9.5830475999999998E-2</v>
      </c>
      <c r="X11" s="152">
        <v>5.4760271999999999E-2</v>
      </c>
      <c r="Y11" s="152">
        <v>7.5295373999999998E-2</v>
      </c>
      <c r="Z11" s="152">
        <v>0.143745714</v>
      </c>
      <c r="AA11" s="152">
        <v>0.177970884</v>
      </c>
      <c r="AB11" s="152">
        <v>0.23008293063053925</v>
      </c>
      <c r="AC11" s="153">
        <v>5.7116712000000007E-2</v>
      </c>
      <c r="AD11" s="154">
        <v>9.9373046549906627E-2</v>
      </c>
      <c r="AE11" s="155">
        <v>7.8972688920139145E-2</v>
      </c>
      <c r="AF11" s="156">
        <v>0.23546244747004577</v>
      </c>
      <c r="AH11" s="157">
        <v>2005</v>
      </c>
      <c r="AJ11" s="157">
        <v>16.095476790689379</v>
      </c>
      <c r="AK11" s="157">
        <v>34.084539086165762</v>
      </c>
      <c r="AL11" s="157">
        <v>41.658881105313718</v>
      </c>
      <c r="AM11" s="157">
        <v>32.190953581378778</v>
      </c>
      <c r="AN11" s="157">
        <v>21.77623330505034</v>
      </c>
      <c r="AO11" s="157">
        <v>11.361513028721916</v>
      </c>
      <c r="AP11" s="157">
        <v>15.148684038295885</v>
      </c>
      <c r="AQ11" s="157">
        <v>19.882647800263353</v>
      </c>
      <c r="AR11" s="157">
        <v>24.616611562230823</v>
      </c>
      <c r="AS11" s="157">
        <v>27.456989819411309</v>
      </c>
      <c r="AT11" s="157">
        <v>17.989062295476362</v>
      </c>
      <c r="AU11" s="157">
        <v>17.989062295476362</v>
      </c>
      <c r="AV11" s="157">
        <v>11.361513750535661</v>
      </c>
      <c r="AW11" s="157">
        <v>28.40378437633915</v>
      </c>
      <c r="AX11" s="157">
        <v>8.5211353129017464</v>
      </c>
      <c r="AY11" s="157">
        <v>9.4679281254463845</v>
      </c>
      <c r="AZ11" s="157">
        <v>14.201892188169575</v>
      </c>
      <c r="BA11" s="157">
        <v>16.095477813258853</v>
      </c>
      <c r="BB11" s="157">
        <v>13.255099375624939</v>
      </c>
      <c r="BC11" s="157">
        <v>7.5743425003571065</v>
      </c>
      <c r="BD11" s="157">
        <v>10.414720937991021</v>
      </c>
      <c r="BE11" s="157">
        <v>19.882649063437405</v>
      </c>
      <c r="BF11" s="157">
        <v>24.616613126160598</v>
      </c>
      <c r="BG11" s="157">
        <v>31.824657848332265</v>
      </c>
      <c r="BH11" s="157">
        <v>7.9002810501426444</v>
      </c>
      <c r="BI11" s="157">
        <v>13.745101373362845</v>
      </c>
      <c r="BJ11" s="157">
        <v>10.923360535084463</v>
      </c>
      <c r="BL11" s="158">
        <v>91.838896982168848</v>
      </c>
      <c r="BM11" s="158">
        <v>65.328699915151034</v>
      </c>
      <c r="BN11" s="158">
        <v>59.647943400790062</v>
      </c>
      <c r="BO11" s="158">
        <v>63.435114410364037</v>
      </c>
      <c r="BP11" s="158">
        <v>48.286433439776559</v>
      </c>
      <c r="BQ11" s="158">
        <v>39.765298126874811</v>
      </c>
      <c r="BR11" s="158">
        <v>31.244162813973066</v>
      </c>
      <c r="BS11" s="158">
        <v>76.323920037930264</v>
      </c>
      <c r="BT11" s="158">
        <v>32.568742958589951</v>
      </c>
      <c r="BU11" s="158">
        <v>202.0484803204628</v>
      </c>
    </row>
    <row r="12" spans="2:75" x14ac:dyDescent="0.25">
      <c r="B12" s="160">
        <v>19101</v>
      </c>
      <c r="C12" s="160">
        <v>3</v>
      </c>
      <c r="D12" s="160" t="s">
        <v>1281</v>
      </c>
      <c r="E12" s="152">
        <v>0.29058196374422945</v>
      </c>
      <c r="F12" s="152">
        <v>0.29562158573375419</v>
      </c>
      <c r="G12" s="152">
        <v>0.47627922145993751</v>
      </c>
      <c r="H12" s="152">
        <v>0.31204500716340722</v>
      </c>
      <c r="I12" s="152">
        <v>0.26277474287444813</v>
      </c>
      <c r="J12" s="152">
        <v>0.34489185002271328</v>
      </c>
      <c r="K12" s="152">
        <v>0.34489185002271328</v>
      </c>
      <c r="L12" s="152">
        <v>0.34489185002271328</v>
      </c>
      <c r="M12" s="152">
        <v>0.29562158573375419</v>
      </c>
      <c r="N12" s="152">
        <v>0.3613152714523663</v>
      </c>
      <c r="O12" s="152">
        <v>0.39416211431167236</v>
      </c>
      <c r="P12" s="152">
        <v>0.39416211431167236</v>
      </c>
      <c r="Q12" s="152">
        <v>0.18065763099999996</v>
      </c>
      <c r="R12" s="152">
        <v>0.16423420999999996</v>
      </c>
      <c r="S12" s="152">
        <v>0.14781078899999997</v>
      </c>
      <c r="T12" s="152">
        <v>0.19708105199999995</v>
      </c>
      <c r="U12" s="152">
        <v>0.18065763099999996</v>
      </c>
      <c r="V12" s="152">
        <v>9.8540525999999989E-2</v>
      </c>
      <c r="W12" s="152">
        <v>0.24635131499999993</v>
      </c>
      <c r="X12" s="152">
        <v>0.19708105199999995</v>
      </c>
      <c r="Y12" s="152">
        <v>0.22992789399999994</v>
      </c>
      <c r="Z12" s="152">
        <v>0.4105855249999999</v>
      </c>
      <c r="AA12" s="152">
        <v>0.21350447299999994</v>
      </c>
      <c r="AB12" s="152">
        <v>0.41403178216417275</v>
      </c>
      <c r="AC12" s="153">
        <v>0.3846302159999998</v>
      </c>
      <c r="AD12" s="154">
        <v>0.22955743374452114</v>
      </c>
      <c r="AE12" s="155">
        <v>0.42774035970690566</v>
      </c>
      <c r="AF12" s="156">
        <v>1.0419280094514265</v>
      </c>
      <c r="AH12" s="157">
        <v>0</v>
      </c>
      <c r="AJ12" s="157">
        <v>0</v>
      </c>
      <c r="AK12" s="157">
        <v>0</v>
      </c>
      <c r="AL12" s="157">
        <v>0</v>
      </c>
      <c r="AM12" s="157">
        <v>0</v>
      </c>
      <c r="AN12" s="157">
        <v>0</v>
      </c>
      <c r="AO12" s="157">
        <v>0</v>
      </c>
      <c r="AP12" s="157">
        <v>0</v>
      </c>
      <c r="AQ12" s="157">
        <v>0</v>
      </c>
      <c r="AR12" s="157">
        <v>0</v>
      </c>
      <c r="AS12" s="157">
        <v>0</v>
      </c>
      <c r="AT12" s="157">
        <v>0</v>
      </c>
      <c r="AU12" s="157">
        <v>0</v>
      </c>
      <c r="AV12" s="157">
        <v>0</v>
      </c>
      <c r="AW12" s="157">
        <v>0</v>
      </c>
      <c r="AX12" s="157">
        <v>0</v>
      </c>
      <c r="AY12" s="157">
        <v>0</v>
      </c>
      <c r="AZ12" s="157">
        <v>0</v>
      </c>
      <c r="BA12" s="157">
        <v>0</v>
      </c>
      <c r="BB12" s="157">
        <v>0</v>
      </c>
      <c r="BC12" s="157">
        <v>0</v>
      </c>
      <c r="BD12" s="157">
        <v>0</v>
      </c>
      <c r="BE12" s="157">
        <v>0</v>
      </c>
      <c r="BF12" s="157">
        <v>0</v>
      </c>
      <c r="BG12" s="157">
        <v>0</v>
      </c>
      <c r="BH12" s="157">
        <v>0</v>
      </c>
      <c r="BI12" s="157">
        <v>0</v>
      </c>
      <c r="BJ12" s="157">
        <v>0</v>
      </c>
      <c r="BL12" s="158">
        <v>0</v>
      </c>
      <c r="BM12" s="158">
        <v>0</v>
      </c>
      <c r="BN12" s="158">
        <v>0</v>
      </c>
      <c r="BO12" s="158">
        <v>0</v>
      </c>
      <c r="BP12" s="158">
        <v>0</v>
      </c>
      <c r="BQ12" s="158">
        <v>0</v>
      </c>
      <c r="BR12" s="158">
        <v>0</v>
      </c>
      <c r="BS12" s="158">
        <v>0</v>
      </c>
      <c r="BT12" s="158">
        <v>0</v>
      </c>
      <c r="BU12" s="158">
        <v>0</v>
      </c>
    </row>
    <row r="13" spans="2:75" x14ac:dyDescent="0.25">
      <c r="B13" s="151">
        <v>41102</v>
      </c>
      <c r="C13" s="151">
        <v>4</v>
      </c>
      <c r="D13" s="151" t="s">
        <v>1188</v>
      </c>
      <c r="E13" s="152">
        <v>3.2905081942389898E-2</v>
      </c>
      <c r="F13" s="152">
        <v>5.9229147496301822E-2</v>
      </c>
      <c r="G13" s="152">
        <v>3.9486098330867879E-2</v>
      </c>
      <c r="H13" s="152">
        <v>6.5810163884779796E-2</v>
      </c>
      <c r="I13" s="152">
        <v>3.9486098330867879E-2</v>
      </c>
      <c r="J13" s="152">
        <v>2.632406555391192E-2</v>
      </c>
      <c r="K13" s="152">
        <v>3.2905081942389898E-2</v>
      </c>
      <c r="L13" s="152">
        <v>6.5810163884779796E-2</v>
      </c>
      <c r="M13" s="152">
        <v>5.2648131107823841E-2</v>
      </c>
      <c r="N13" s="152">
        <v>0.14478236054651553</v>
      </c>
      <c r="O13" s="152">
        <v>8.5553213050213739E-2</v>
      </c>
      <c r="P13" s="152">
        <v>8.5553213050213739E-2</v>
      </c>
      <c r="Q13" s="152">
        <v>2.6324064000000001E-2</v>
      </c>
      <c r="R13" s="152">
        <v>5.2648128000000009E-2</v>
      </c>
      <c r="S13" s="152">
        <v>3.9486096000000005E-2</v>
      </c>
      <c r="T13" s="152">
        <v>3.9486096000000005E-2</v>
      </c>
      <c r="U13" s="152">
        <v>6.5810160000000006E-2</v>
      </c>
      <c r="V13" s="152">
        <v>3.2905080000000003E-2</v>
      </c>
      <c r="W13" s="152">
        <v>9.2134223999999987E-2</v>
      </c>
      <c r="X13" s="152">
        <v>6.5810160000000006E-2</v>
      </c>
      <c r="Y13" s="152">
        <v>7.8972191999999997E-2</v>
      </c>
      <c r="Z13" s="152">
        <v>0.11187727199999997</v>
      </c>
      <c r="AA13" s="152">
        <v>7.8972191999999997E-2</v>
      </c>
      <c r="AB13" s="152">
        <v>0.15668932769794597</v>
      </c>
      <c r="AC13" s="153">
        <v>6.7765590000000001E-2</v>
      </c>
      <c r="AD13" s="154">
        <v>5.5600969096188342E-2</v>
      </c>
      <c r="AE13" s="155">
        <v>0.11852564577011321</v>
      </c>
      <c r="AF13" s="156">
        <v>0.24189220486630156</v>
      </c>
      <c r="AH13" s="157">
        <v>1866</v>
      </c>
      <c r="AJ13" s="157">
        <v>4.8904075910606144</v>
      </c>
      <c r="AK13" s="157">
        <v>8.8027336639091054</v>
      </c>
      <c r="AL13" s="157">
        <v>5.8684891092727369</v>
      </c>
      <c r="AM13" s="157">
        <v>9.7808151821212288</v>
      </c>
      <c r="AN13" s="157">
        <v>5.8684891092727369</v>
      </c>
      <c r="AO13" s="157">
        <v>3.9123260728484914</v>
      </c>
      <c r="AP13" s="157">
        <v>4.8904075910606144</v>
      </c>
      <c r="AQ13" s="157">
        <v>9.7808151821212288</v>
      </c>
      <c r="AR13" s="157">
        <v>7.8246521456969829</v>
      </c>
      <c r="AS13" s="157">
        <v>21.517793400666697</v>
      </c>
      <c r="AT13" s="157">
        <v>12.715059736757597</v>
      </c>
      <c r="AU13" s="157">
        <v>12.715059736757597</v>
      </c>
      <c r="AV13" s="157">
        <v>3.9123258419035372</v>
      </c>
      <c r="AW13" s="157">
        <v>7.8246516838070752</v>
      </c>
      <c r="AX13" s="157">
        <v>5.8684887628553062</v>
      </c>
      <c r="AY13" s="157">
        <v>5.8684887628553062</v>
      </c>
      <c r="AZ13" s="157">
        <v>9.7808146047588433</v>
      </c>
      <c r="BA13" s="157">
        <v>4.8904073023794217</v>
      </c>
      <c r="BB13" s="157">
        <v>13.693140446662378</v>
      </c>
      <c r="BC13" s="157">
        <v>9.7808146047588433</v>
      </c>
      <c r="BD13" s="157">
        <v>11.736977525710611</v>
      </c>
      <c r="BE13" s="157">
        <v>16.62738482809003</v>
      </c>
      <c r="BF13" s="157">
        <v>11.736977525710611</v>
      </c>
      <c r="BG13" s="157">
        <v>23.287426512227203</v>
      </c>
      <c r="BH13" s="157">
        <v>10.071433838971062</v>
      </c>
      <c r="BI13" s="157">
        <v>8.2635078014510839</v>
      </c>
      <c r="BJ13" s="157">
        <v>17.615477111540169</v>
      </c>
      <c r="BL13" s="158">
        <v>19.561630364242458</v>
      </c>
      <c r="BM13" s="158">
        <v>19.561630364242458</v>
      </c>
      <c r="BN13" s="158">
        <v>22.495874918878826</v>
      </c>
      <c r="BO13" s="158">
        <v>46.947912874181888</v>
      </c>
      <c r="BP13" s="158">
        <v>17.605466288565918</v>
      </c>
      <c r="BQ13" s="158">
        <v>20.539710669993571</v>
      </c>
      <c r="BR13" s="158">
        <v>35.210932577131828</v>
      </c>
      <c r="BS13" s="158">
        <v>51.651788866027843</v>
      </c>
      <c r="BT13" s="158">
        <v>35.950418751962317</v>
      </c>
      <c r="BU13" s="158">
        <v>125.79220731037135</v>
      </c>
    </row>
    <row r="14" spans="2:75" x14ac:dyDescent="0.25">
      <c r="B14" s="151">
        <v>20101</v>
      </c>
      <c r="C14" s="151">
        <v>4</v>
      </c>
      <c r="D14" s="151" t="s">
        <v>1185</v>
      </c>
      <c r="E14" s="152">
        <v>0.15567306908320033</v>
      </c>
      <c r="F14" s="152">
        <v>0.29058972895530732</v>
      </c>
      <c r="G14" s="152">
        <v>0.11416025066101357</v>
      </c>
      <c r="H14" s="152">
        <v>0.21794229671648052</v>
      </c>
      <c r="I14" s="152">
        <v>7.2647432238826831E-2</v>
      </c>
      <c r="J14" s="152">
        <v>3.1134613816640067E-2</v>
      </c>
      <c r="K14" s="152">
        <v>0.12453845526656025</v>
      </c>
      <c r="L14" s="152">
        <v>8.3025636844373515E-2</v>
      </c>
      <c r="M14" s="152">
        <v>9.34038414499202E-2</v>
      </c>
      <c r="N14" s="152">
        <v>0.28021152434976065</v>
      </c>
      <c r="O14" s="152">
        <v>0.13491665987210694</v>
      </c>
      <c r="P14" s="152">
        <v>0.13491665987210694</v>
      </c>
      <c r="Q14" s="152">
        <v>8.3025639999999998E-2</v>
      </c>
      <c r="R14" s="152">
        <v>8.3025639999999998E-2</v>
      </c>
      <c r="S14" s="152">
        <v>7.2647434999999996E-2</v>
      </c>
      <c r="T14" s="152">
        <v>5.1891025E-2</v>
      </c>
      <c r="U14" s="152">
        <v>0.13491666499999999</v>
      </c>
      <c r="V14" s="152">
        <v>9.3403844999999999E-2</v>
      </c>
      <c r="W14" s="152">
        <v>0.24907692000000001</v>
      </c>
      <c r="X14" s="152">
        <v>0.16605128</v>
      </c>
      <c r="Y14" s="152">
        <v>0.13491666499999999</v>
      </c>
      <c r="Z14" s="152">
        <v>0.176429485</v>
      </c>
      <c r="AA14" s="152">
        <v>0.12453846</v>
      </c>
      <c r="AB14" s="152">
        <v>0.11628127394178592</v>
      </c>
      <c r="AC14" s="153">
        <v>0.11083758</v>
      </c>
      <c r="AD14" s="154">
        <v>0.11240776016718759</v>
      </c>
      <c r="AE14" s="155">
        <v>0.13500111020649838</v>
      </c>
      <c r="AF14" s="156">
        <v>0.35824645037368597</v>
      </c>
      <c r="AH14" s="157">
        <v>3102</v>
      </c>
      <c r="AJ14" s="157">
        <v>13.917634075662727</v>
      </c>
      <c r="AK14" s="157">
        <v>25.979583607903763</v>
      </c>
      <c r="AL14" s="157">
        <v>10.206264988819333</v>
      </c>
      <c r="AM14" s="157">
        <v>19.484687705927822</v>
      </c>
      <c r="AN14" s="157">
        <v>6.4948959019759407</v>
      </c>
      <c r="AO14" s="157">
        <v>2.7835268151325452</v>
      </c>
      <c r="AP14" s="157">
        <v>11.134107260530181</v>
      </c>
      <c r="AQ14" s="157">
        <v>7.4227381736867892</v>
      </c>
      <c r="AR14" s="157">
        <v>8.3505804453976378</v>
      </c>
      <c r="AS14" s="157">
        <v>25.051741336192915</v>
      </c>
      <c r="AT14" s="157">
        <v>12.061949532241028</v>
      </c>
      <c r="AU14" s="157">
        <v>12.061949532241028</v>
      </c>
      <c r="AV14" s="157">
        <v>7.4227384558091556</v>
      </c>
      <c r="AW14" s="157">
        <v>7.4227384558091556</v>
      </c>
      <c r="AX14" s="157">
        <v>6.4948961488330106</v>
      </c>
      <c r="AY14" s="157">
        <v>4.6392115348807224</v>
      </c>
      <c r="AZ14" s="157">
        <v>12.061949990689877</v>
      </c>
      <c r="BA14" s="157">
        <v>8.3505807627852988</v>
      </c>
      <c r="BB14" s="157">
        <v>22.268215367427469</v>
      </c>
      <c r="BC14" s="157">
        <v>14.845476911618311</v>
      </c>
      <c r="BD14" s="157">
        <v>12.061949990689877</v>
      </c>
      <c r="BE14" s="157">
        <v>15.773319218594455</v>
      </c>
      <c r="BF14" s="157">
        <v>11.134107683713735</v>
      </c>
      <c r="BG14" s="157">
        <v>10.395890760711671</v>
      </c>
      <c r="BH14" s="157">
        <v>9.9092083772533854</v>
      </c>
      <c r="BI14" s="157">
        <v>10.049587141085043</v>
      </c>
      <c r="BJ14" s="157">
        <v>12.069499642600833</v>
      </c>
      <c r="BL14" s="158">
        <v>50.103482672385823</v>
      </c>
      <c r="BM14" s="158">
        <v>28.763110423036309</v>
      </c>
      <c r="BN14" s="158">
        <v>26.907425879614607</v>
      </c>
      <c r="BO14" s="158">
        <v>49.175640400674972</v>
      </c>
      <c r="BP14" s="158">
        <v>21.34037306045132</v>
      </c>
      <c r="BQ14" s="158">
        <v>25.051742288355896</v>
      </c>
      <c r="BR14" s="158">
        <v>49.175642269735654</v>
      </c>
      <c r="BS14" s="158">
        <v>37.303317663019861</v>
      </c>
      <c r="BT14" s="158">
        <v>32.028295160939258</v>
      </c>
      <c r="BU14" s="158">
        <v>138.64463843367716</v>
      </c>
    </row>
    <row r="15" spans="2:75" x14ac:dyDescent="0.25">
      <c r="B15" s="151">
        <v>41103</v>
      </c>
      <c r="C15" s="151">
        <v>4</v>
      </c>
      <c r="D15" s="151" t="s">
        <v>1282</v>
      </c>
      <c r="E15" s="152">
        <v>3.1973256613047882E-2</v>
      </c>
      <c r="F15" s="152">
        <v>5.7551861903486198E-2</v>
      </c>
      <c r="G15" s="152">
        <v>3.8367907935657461E-2</v>
      </c>
      <c r="H15" s="152">
        <v>6.3946513226095777E-2</v>
      </c>
      <c r="I15" s="152">
        <v>3.8367907935657461E-2</v>
      </c>
      <c r="J15" s="152">
        <v>2.5578605290438306E-2</v>
      </c>
      <c r="K15" s="152">
        <v>3.8367907935657461E-2</v>
      </c>
      <c r="L15" s="152">
        <v>6.3946513226095777E-2</v>
      </c>
      <c r="M15" s="152">
        <v>5.1157210580876619E-2</v>
      </c>
      <c r="N15" s="152">
        <v>0.14707698042002029</v>
      </c>
      <c r="O15" s="152">
        <v>8.3130467193924515E-2</v>
      </c>
      <c r="P15" s="152">
        <v>8.3130467193924515E-2</v>
      </c>
      <c r="Q15" s="152">
        <v>2.5578604000000001E-2</v>
      </c>
      <c r="R15" s="152">
        <v>4.4762557000000001E-2</v>
      </c>
      <c r="S15" s="152">
        <v>3.8367906E-2</v>
      </c>
      <c r="T15" s="152">
        <v>3.8367906E-2</v>
      </c>
      <c r="U15" s="152">
        <v>5.7551859000000004E-2</v>
      </c>
      <c r="V15" s="152">
        <v>1.9183953E-2</v>
      </c>
      <c r="W15" s="152">
        <v>8.3130463000000002E-2</v>
      </c>
      <c r="X15" s="152">
        <v>7.0341160999999999E-2</v>
      </c>
      <c r="Y15" s="152">
        <v>7.6735812E-2</v>
      </c>
      <c r="Z15" s="152">
        <v>0.10870906700000001</v>
      </c>
      <c r="AA15" s="152">
        <v>7.6735812E-2</v>
      </c>
      <c r="AB15" s="152">
        <v>0.1074720770152134</v>
      </c>
      <c r="AC15" s="153">
        <v>7.8452285999999996E-2</v>
      </c>
      <c r="AD15" s="154">
        <v>5.9832442529267067E-2</v>
      </c>
      <c r="AE15" s="155">
        <v>4.5096587965361548E-2</v>
      </c>
      <c r="AF15" s="156">
        <v>0.18338131649462863</v>
      </c>
      <c r="AH15" s="157">
        <v>1985</v>
      </c>
      <c r="AJ15" s="157">
        <v>4.4670424735432457</v>
      </c>
      <c r="AK15" s="157">
        <v>8.0406764523778431</v>
      </c>
      <c r="AL15" s="157">
        <v>5.3604509682518948</v>
      </c>
      <c r="AM15" s="157">
        <v>8.9340849470864931</v>
      </c>
      <c r="AN15" s="157">
        <v>5.3604509682518948</v>
      </c>
      <c r="AO15" s="157">
        <v>3.5736339788345965</v>
      </c>
      <c r="AP15" s="157">
        <v>5.3604509682518948</v>
      </c>
      <c r="AQ15" s="157">
        <v>8.9340849470864931</v>
      </c>
      <c r="AR15" s="157">
        <v>7.147267957669194</v>
      </c>
      <c r="AS15" s="157">
        <v>20.548395378298935</v>
      </c>
      <c r="AT15" s="157">
        <v>11.614310431212441</v>
      </c>
      <c r="AU15" s="157">
        <v>11.614310431212441</v>
      </c>
      <c r="AV15" s="157">
        <v>3.5736337985450883</v>
      </c>
      <c r="AW15" s="157">
        <v>6.2538591474539045</v>
      </c>
      <c r="AX15" s="157">
        <v>5.3604506978176332</v>
      </c>
      <c r="AY15" s="157">
        <v>5.3604506978176332</v>
      </c>
      <c r="AZ15" s="157">
        <v>8.0406760467264498</v>
      </c>
      <c r="BA15" s="157">
        <v>2.6802253489088166</v>
      </c>
      <c r="BB15" s="157">
        <v>11.614309845271537</v>
      </c>
      <c r="BC15" s="157">
        <v>9.8274929459989924</v>
      </c>
      <c r="BD15" s="157">
        <v>10.720901395635266</v>
      </c>
      <c r="BE15" s="157">
        <v>15.187943643816626</v>
      </c>
      <c r="BF15" s="157">
        <v>10.720901395635266</v>
      </c>
      <c r="BG15" s="157">
        <v>15.015121498476121</v>
      </c>
      <c r="BH15" s="157">
        <v>10.96071313441209</v>
      </c>
      <c r="BI15" s="157">
        <v>8.3593005651166639</v>
      </c>
      <c r="BJ15" s="157">
        <v>6.3005272278376765</v>
      </c>
      <c r="BL15" s="158">
        <v>17.868169894172986</v>
      </c>
      <c r="BM15" s="158">
        <v>17.868169894172986</v>
      </c>
      <c r="BN15" s="158">
        <v>21.441803873007583</v>
      </c>
      <c r="BO15" s="158">
        <v>43.777016240723825</v>
      </c>
      <c r="BP15" s="158">
        <v>15.187943643816626</v>
      </c>
      <c r="BQ15" s="158">
        <v>16.0813520934529</v>
      </c>
      <c r="BR15" s="158">
        <v>32.162704186905799</v>
      </c>
      <c r="BS15" s="158">
        <v>40.92396653792801</v>
      </c>
      <c r="BT15" s="158">
        <v>25.620540927366431</v>
      </c>
      <c r="BU15" s="158">
        <v>102.59776335788213</v>
      </c>
    </row>
    <row r="16" spans="2:75" x14ac:dyDescent="0.25">
      <c r="B16" s="159">
        <v>23103</v>
      </c>
      <c r="C16" s="159">
        <v>3</v>
      </c>
      <c r="D16" s="159" t="s">
        <v>1192</v>
      </c>
      <c r="E16" s="152">
        <v>0.17949285406450566</v>
      </c>
      <c r="F16" s="152">
        <v>0.21851303973070255</v>
      </c>
      <c r="G16" s="152">
        <v>0.20290496546422379</v>
      </c>
      <c r="H16" s="152">
        <v>0.11706055699859065</v>
      </c>
      <c r="I16" s="152">
        <v>0.17949285406450566</v>
      </c>
      <c r="J16" s="152">
        <v>5.462825993267563E-2</v>
      </c>
      <c r="K16" s="152">
        <v>0.20290496546422379</v>
      </c>
      <c r="L16" s="152">
        <v>0.15608074266478753</v>
      </c>
      <c r="M16" s="152">
        <v>0.12486459413183003</v>
      </c>
      <c r="N16" s="152">
        <v>0.28094533679661748</v>
      </c>
      <c r="O16" s="152">
        <v>0.13266863126506939</v>
      </c>
      <c r="P16" s="152">
        <v>0.13266863126506939</v>
      </c>
      <c r="Q16" s="152">
        <v>7.0236332999999998E-2</v>
      </c>
      <c r="R16" s="152">
        <v>0.117060555</v>
      </c>
      <c r="S16" s="152">
        <v>9.3648443999999997E-2</v>
      </c>
      <c r="T16" s="152">
        <v>0.1794928509999999</v>
      </c>
      <c r="U16" s="152">
        <v>0.101452481</v>
      </c>
      <c r="V16" s="152">
        <v>4.6824221999999999E-2</v>
      </c>
      <c r="W16" s="152">
        <v>9.3648443999999997E-2</v>
      </c>
      <c r="X16" s="152">
        <v>7.0236332999999998E-2</v>
      </c>
      <c r="Y16" s="152">
        <v>4.6824221999999999E-2</v>
      </c>
      <c r="Z16" s="152">
        <v>0.14827670299999995</v>
      </c>
      <c r="AA16" s="152">
        <v>3.9020184999999999E-2</v>
      </c>
      <c r="AB16" s="152">
        <v>0.25138809381924848</v>
      </c>
      <c r="AC16" s="153">
        <v>3.1961759999999999E-2</v>
      </c>
      <c r="AD16" s="154">
        <v>0.10352684433430122</v>
      </c>
      <c r="AE16" s="155">
        <v>5.5747168973429066E-2</v>
      </c>
      <c r="AF16" s="156">
        <v>0.19123577330773028</v>
      </c>
      <c r="AH16" s="157">
        <v>2176</v>
      </c>
      <c r="AJ16" s="157">
        <v>22.876100290441741</v>
      </c>
      <c r="AK16" s="157">
        <v>27.849165570972552</v>
      </c>
      <c r="AL16" s="157">
        <v>25.85993945876023</v>
      </c>
      <c r="AM16" s="157">
        <v>14.91919584159244</v>
      </c>
      <c r="AN16" s="157">
        <v>22.876100290441741</v>
      </c>
      <c r="AO16" s="157">
        <v>6.9622913927431371</v>
      </c>
      <c r="AP16" s="157">
        <v>25.85993945876023</v>
      </c>
      <c r="AQ16" s="157">
        <v>19.892261122123251</v>
      </c>
      <c r="AR16" s="157">
        <v>15.913808897698603</v>
      </c>
      <c r="AS16" s="157">
        <v>35.806070019821846</v>
      </c>
      <c r="AT16" s="157">
        <v>16.908421953804766</v>
      </c>
      <c r="AU16" s="157">
        <v>16.908421953804766</v>
      </c>
      <c r="AV16" s="157">
        <v>8.9515173521250002</v>
      </c>
      <c r="AW16" s="157">
        <v>14.919195586875</v>
      </c>
      <c r="AX16" s="157">
        <v>11.9353564695</v>
      </c>
      <c r="AY16" s="157">
        <v>22.876099899874987</v>
      </c>
      <c r="AZ16" s="157">
        <v>12.929969508625</v>
      </c>
      <c r="BA16" s="157">
        <v>5.9676782347500001</v>
      </c>
      <c r="BB16" s="157">
        <v>11.9353564695</v>
      </c>
      <c r="BC16" s="157">
        <v>8.9515173521250002</v>
      </c>
      <c r="BD16" s="157">
        <v>5.9676782347500001</v>
      </c>
      <c r="BE16" s="157">
        <v>18.897647743374993</v>
      </c>
      <c r="BF16" s="157">
        <v>4.9730651956249998</v>
      </c>
      <c r="BG16" s="157">
        <v>32.039042868889958</v>
      </c>
      <c r="BH16" s="157">
        <v>4.0734793094117645</v>
      </c>
      <c r="BI16" s="157">
        <v>13.194344065047375</v>
      </c>
      <c r="BJ16" s="157">
        <v>7.1048947045326907</v>
      </c>
      <c r="BL16" s="158">
        <v>76.585205320174524</v>
      </c>
      <c r="BM16" s="158">
        <v>44.757587524777321</v>
      </c>
      <c r="BN16" s="158">
        <v>61.666009478582083</v>
      </c>
      <c r="BO16" s="158">
        <v>69.62291392743137</v>
      </c>
      <c r="BP16" s="158">
        <v>35.806069408500001</v>
      </c>
      <c r="BQ16" s="158">
        <v>41.77374764324999</v>
      </c>
      <c r="BR16" s="158">
        <v>26.854552056375002</v>
      </c>
      <c r="BS16" s="158">
        <v>55.909755807889951</v>
      </c>
      <c r="BT16" s="158">
        <v>24.372718078991831</v>
      </c>
      <c r="BU16" s="158">
        <v>170.1555711609825</v>
      </c>
    </row>
    <row r="17" spans="2:73" x14ac:dyDescent="0.25">
      <c r="B17" s="159">
        <v>26101</v>
      </c>
      <c r="C17" s="159">
        <v>3</v>
      </c>
      <c r="D17" s="159" t="s">
        <v>1283</v>
      </c>
      <c r="E17" s="152">
        <v>0.1989447078145202</v>
      </c>
      <c r="F17" s="152">
        <v>0.18236598216331018</v>
      </c>
      <c r="G17" s="152">
        <v>0.24868088476815026</v>
      </c>
      <c r="H17" s="152">
        <v>0.11605107955847012</v>
      </c>
      <c r="I17" s="152">
        <v>3.3157451302420031E-2</v>
      </c>
      <c r="J17" s="152">
        <v>0</v>
      </c>
      <c r="K17" s="152">
        <v>8.2893628256050081E-2</v>
      </c>
      <c r="L17" s="152">
        <v>0.13262980520968012</v>
      </c>
      <c r="M17" s="152">
        <v>0.24868088476815026</v>
      </c>
      <c r="N17" s="152">
        <v>0.24868088476815026</v>
      </c>
      <c r="O17" s="152">
        <v>0.21552343346573022</v>
      </c>
      <c r="P17" s="152">
        <v>0.21552343346573022</v>
      </c>
      <c r="Q17" s="152">
        <v>8.2893629999999996E-2</v>
      </c>
      <c r="R17" s="152">
        <v>0.16578725999999996</v>
      </c>
      <c r="S17" s="152">
        <v>0.13262980799999999</v>
      </c>
      <c r="T17" s="152">
        <v>6.6314903999999994E-2</v>
      </c>
      <c r="U17" s="152">
        <v>8.2893629999999996E-2</v>
      </c>
      <c r="V17" s="152">
        <v>3.3157451999999997E-2</v>
      </c>
      <c r="W17" s="152">
        <v>0.116051082</v>
      </c>
      <c r="X17" s="152">
        <v>4.9736177999999992E-2</v>
      </c>
      <c r="Y17" s="152">
        <v>4.9736177999999992E-2</v>
      </c>
      <c r="Z17" s="152">
        <v>0.14920853399999998</v>
      </c>
      <c r="AA17" s="152">
        <v>9.9472355999999998E-2</v>
      </c>
      <c r="AB17" s="152">
        <v>0.27863133069906715</v>
      </c>
      <c r="AC17" s="153"/>
      <c r="AD17" s="154">
        <v>0.12055260675778146</v>
      </c>
      <c r="AE17" s="155">
        <v>1.7285915180223523E-2</v>
      </c>
      <c r="AF17" s="156">
        <v>0.13783852193800497</v>
      </c>
      <c r="AH17" s="157">
        <v>4804</v>
      </c>
      <c r="AJ17" s="157">
        <v>11.484791408989437</v>
      </c>
      <c r="AK17" s="157">
        <v>10.527725458240319</v>
      </c>
      <c r="AL17" s="157">
        <v>14.355989261236797</v>
      </c>
      <c r="AM17" s="157">
        <v>6.6994616552438382</v>
      </c>
      <c r="AN17" s="157">
        <v>1.9141319014982394</v>
      </c>
      <c r="AO17" s="157">
        <v>0</v>
      </c>
      <c r="AP17" s="157">
        <v>4.7853297537455992</v>
      </c>
      <c r="AQ17" s="157">
        <v>7.6565276059929577</v>
      </c>
      <c r="AR17" s="157">
        <v>14.355989261236797</v>
      </c>
      <c r="AS17" s="157">
        <v>14.355989261236797</v>
      </c>
      <c r="AT17" s="157">
        <v>12.441857359738558</v>
      </c>
      <c r="AU17" s="157">
        <v>12.441857359738558</v>
      </c>
      <c r="AV17" s="157">
        <v>4.785329854421315</v>
      </c>
      <c r="AW17" s="157">
        <v>9.5706597088426282</v>
      </c>
      <c r="AX17" s="157">
        <v>7.6565277670741034</v>
      </c>
      <c r="AY17" s="157">
        <v>3.8282638835370517</v>
      </c>
      <c r="AZ17" s="157">
        <v>4.785329854421315</v>
      </c>
      <c r="BA17" s="157">
        <v>1.9141319417685259</v>
      </c>
      <c r="BB17" s="157">
        <v>6.6994617961898415</v>
      </c>
      <c r="BC17" s="157">
        <v>2.8711979126527889</v>
      </c>
      <c r="BD17" s="157">
        <v>2.8711979126527889</v>
      </c>
      <c r="BE17" s="157">
        <v>8.6135937379583662</v>
      </c>
      <c r="BF17" s="157">
        <v>5.7423958253055787</v>
      </c>
      <c r="BG17" s="157">
        <v>16.084985362221254</v>
      </c>
      <c r="BH17" s="157">
        <v>0</v>
      </c>
      <c r="BI17" s="157">
        <v>6.9593283361619518</v>
      </c>
      <c r="BJ17" s="157">
        <v>0.99789098357640071</v>
      </c>
      <c r="BL17" s="158">
        <v>36.368506128466549</v>
      </c>
      <c r="BM17" s="158">
        <v>8.6135935567420781</v>
      </c>
      <c r="BN17" s="158">
        <v>26.797846620975353</v>
      </c>
      <c r="BO17" s="158">
        <v>39.239703980713912</v>
      </c>
      <c r="BP17" s="158">
        <v>22.012517330338046</v>
      </c>
      <c r="BQ17" s="158">
        <v>10.527725679726892</v>
      </c>
      <c r="BR17" s="158">
        <v>12.441857621495419</v>
      </c>
      <c r="BS17" s="158">
        <v>30.4409749254852</v>
      </c>
      <c r="BT17" s="158">
        <v>7.9572193197383525</v>
      </c>
      <c r="BU17" s="158">
        <v>72.757201040965612</v>
      </c>
    </row>
    <row r="18" spans="2:73" x14ac:dyDescent="0.25">
      <c r="B18" s="159">
        <v>23101</v>
      </c>
      <c r="C18" s="159">
        <v>3</v>
      </c>
      <c r="D18" s="159" t="s">
        <v>1284</v>
      </c>
      <c r="E18" s="152">
        <v>0.11216847401954505</v>
      </c>
      <c r="F18" s="152">
        <v>0.16202112913934283</v>
      </c>
      <c r="G18" s="152">
        <v>0.17448429291929227</v>
      </c>
      <c r="H18" s="152">
        <v>0.14955796535939339</v>
      </c>
      <c r="I18" s="152">
        <v>6.2315818899747244E-2</v>
      </c>
      <c r="J18" s="152">
        <v>1.2463163779949448E-2</v>
      </c>
      <c r="K18" s="152">
        <v>7.4778982679696696E-2</v>
      </c>
      <c r="L18" s="152">
        <v>0.16202112913934283</v>
      </c>
      <c r="M18" s="152">
        <v>0.1246316377994945</v>
      </c>
      <c r="N18" s="152">
        <v>0.16202112913934283</v>
      </c>
      <c r="O18" s="152">
        <v>0.17448429291929227</v>
      </c>
      <c r="P18" s="152">
        <v>0.17448429291929227</v>
      </c>
      <c r="Q18" s="152">
        <v>6.2315820000000001E-2</v>
      </c>
      <c r="R18" s="152">
        <v>0.14955796800000001</v>
      </c>
      <c r="S18" s="152">
        <v>7.4778984000000007E-2</v>
      </c>
      <c r="T18" s="152">
        <v>9.9705312000000004E-2</v>
      </c>
      <c r="U18" s="152">
        <v>3.7389492000000003E-2</v>
      </c>
      <c r="V18" s="152">
        <v>4.9852656000000002E-2</v>
      </c>
      <c r="W18" s="152">
        <v>0.12463164</v>
      </c>
      <c r="X18" s="152">
        <v>4.9852656000000002E-2</v>
      </c>
      <c r="Y18" s="152">
        <v>6.2315820000000001E-2</v>
      </c>
      <c r="Z18" s="152">
        <v>0.13709480400000001</v>
      </c>
      <c r="AA18" s="152">
        <v>8.7242148000000005E-2</v>
      </c>
      <c r="AB18" s="152">
        <v>0.20946289660862419</v>
      </c>
      <c r="AC18" s="153">
        <v>2.6365050000000001E-2</v>
      </c>
      <c r="AD18" s="154">
        <v>7.9584250337519188E-2</v>
      </c>
      <c r="AE18" s="155">
        <v>6.6186810746798899E-2</v>
      </c>
      <c r="AF18" s="156">
        <v>0.17213611108431809</v>
      </c>
      <c r="AH18" s="157">
        <v>3555</v>
      </c>
      <c r="AJ18" s="157">
        <v>8.7503399614324575</v>
      </c>
      <c r="AK18" s="157">
        <v>12.639379944291328</v>
      </c>
      <c r="AL18" s="157">
        <v>13.611639940006043</v>
      </c>
      <c r="AM18" s="157">
        <v>11.667119948576611</v>
      </c>
      <c r="AN18" s="157">
        <v>4.8612999785735873</v>
      </c>
      <c r="AO18" s="157">
        <v>0.97225999571471744</v>
      </c>
      <c r="AP18" s="157">
        <v>5.8335599742883053</v>
      </c>
      <c r="AQ18" s="157">
        <v>12.639379944291328</v>
      </c>
      <c r="AR18" s="157">
        <v>9.7225999571471764</v>
      </c>
      <c r="AS18" s="157">
        <v>12.639379944291328</v>
      </c>
      <c r="AT18" s="157">
        <v>13.611639940006043</v>
      </c>
      <c r="AU18" s="157">
        <v>13.611639940006043</v>
      </c>
      <c r="AV18" s="157">
        <v>4.8613000644050635</v>
      </c>
      <c r="AW18" s="157">
        <v>11.667120154572153</v>
      </c>
      <c r="AX18" s="157">
        <v>5.8335600772860765</v>
      </c>
      <c r="AY18" s="157">
        <v>7.7780801030481017</v>
      </c>
      <c r="AZ18" s="157">
        <v>2.9167800386430383</v>
      </c>
      <c r="BA18" s="157">
        <v>3.8890400515240509</v>
      </c>
      <c r="BB18" s="157">
        <v>9.7226001288101269</v>
      </c>
      <c r="BC18" s="157">
        <v>3.8890400515240509</v>
      </c>
      <c r="BD18" s="157">
        <v>4.8613000644050635</v>
      </c>
      <c r="BE18" s="157">
        <v>10.694860141691141</v>
      </c>
      <c r="BF18" s="157">
        <v>6.8058200901670887</v>
      </c>
      <c r="BG18" s="157">
        <v>16.340344920021529</v>
      </c>
      <c r="BH18" s="157">
        <v>2.0567557205063292</v>
      </c>
      <c r="BI18" s="157">
        <v>6.2084222159222282</v>
      </c>
      <c r="BJ18" s="157">
        <v>5.1632787203342465</v>
      </c>
      <c r="BL18" s="158">
        <v>35.00135984572983</v>
      </c>
      <c r="BM18" s="158">
        <v>17.500679922864915</v>
      </c>
      <c r="BN18" s="158">
        <v>28.195539875726809</v>
      </c>
      <c r="BO18" s="158">
        <v>39.862659824303414</v>
      </c>
      <c r="BP18" s="158">
        <v>22.361980296263294</v>
      </c>
      <c r="BQ18" s="158">
        <v>14.583900193215191</v>
      </c>
      <c r="BR18" s="158">
        <v>18.472940244739242</v>
      </c>
      <c r="BS18" s="158">
        <v>33.841025151879762</v>
      </c>
      <c r="BT18" s="158">
        <v>13.428456656762805</v>
      </c>
      <c r="BU18" s="158">
        <v>87.844637327257885</v>
      </c>
    </row>
    <row r="19" spans="2:73" x14ac:dyDescent="0.25">
      <c r="B19" s="160">
        <v>19103</v>
      </c>
      <c r="C19" s="160">
        <v>3</v>
      </c>
      <c r="D19" s="160" t="s">
        <v>1285</v>
      </c>
      <c r="E19" s="152">
        <v>6.4994816721605536E-2</v>
      </c>
      <c r="F19" s="152">
        <v>7.9438109326406769E-2</v>
      </c>
      <c r="G19" s="152">
        <v>0.12998963344321107</v>
      </c>
      <c r="H19" s="152">
        <v>4.3329877814403693E-2</v>
      </c>
      <c r="I19" s="152">
        <v>2.1664938907201843E-2</v>
      </c>
      <c r="J19" s="152">
        <v>3.6108231512003076E-2</v>
      </c>
      <c r="K19" s="152">
        <v>5.055152411680431E-2</v>
      </c>
      <c r="L19" s="152">
        <v>8.6659755628807386E-2</v>
      </c>
      <c r="M19" s="152">
        <v>6.4994816721605536E-2</v>
      </c>
      <c r="N19" s="152">
        <v>7.9438109326406769E-2</v>
      </c>
      <c r="O19" s="152">
        <v>6.4994816721605536E-2</v>
      </c>
      <c r="P19" s="152">
        <v>6.4994816721605536E-2</v>
      </c>
      <c r="Q19" s="152">
        <v>1.4443292E-2</v>
      </c>
      <c r="R19" s="152">
        <v>2.1664938000000002E-2</v>
      </c>
      <c r="S19" s="152">
        <v>3.6108229999999998E-2</v>
      </c>
      <c r="T19" s="152">
        <v>4.3329875999999996E-2</v>
      </c>
      <c r="U19" s="152">
        <v>2.1664938000000002E-2</v>
      </c>
      <c r="V19" s="152">
        <v>2.1664938000000002E-2</v>
      </c>
      <c r="W19" s="152">
        <v>4.3329875999999996E-2</v>
      </c>
      <c r="X19" s="152">
        <v>4.3329875999999996E-2</v>
      </c>
      <c r="Y19" s="152">
        <v>5.0551521999999995E-2</v>
      </c>
      <c r="Z19" s="152">
        <v>3.6108229999999998E-2</v>
      </c>
      <c r="AA19" s="152">
        <v>1.4443292E-2</v>
      </c>
      <c r="AB19" s="152">
        <v>3.0342754244469628E-2</v>
      </c>
      <c r="AC19" s="153">
        <v>3.0086108E-2</v>
      </c>
      <c r="AD19" s="154">
        <v>1.5320596992842744E-2</v>
      </c>
      <c r="AE19" s="155">
        <v>2.3081193101916954E-2</v>
      </c>
      <c r="AF19" s="156">
        <v>6.8487898094759692E-2</v>
      </c>
      <c r="AH19" s="157">
        <v>2100</v>
      </c>
      <c r="AJ19" s="157">
        <v>8.5832773960806765</v>
      </c>
      <c r="AK19" s="157">
        <v>10.490672372987493</v>
      </c>
      <c r="AL19" s="157">
        <v>17.166554792161353</v>
      </c>
      <c r="AM19" s="157">
        <v>5.7221849307204513</v>
      </c>
      <c r="AN19" s="157">
        <v>2.8610924653602252</v>
      </c>
      <c r="AO19" s="157">
        <v>4.768487442267042</v>
      </c>
      <c r="AP19" s="157">
        <v>6.6758824191738597</v>
      </c>
      <c r="AQ19" s="157">
        <v>11.444369861440903</v>
      </c>
      <c r="AR19" s="157">
        <v>8.5832773960806765</v>
      </c>
      <c r="AS19" s="157">
        <v>10.490672372987493</v>
      </c>
      <c r="AT19" s="157">
        <v>8.5832773960806765</v>
      </c>
      <c r="AU19" s="157">
        <v>8.5832773960806765</v>
      </c>
      <c r="AV19" s="157">
        <v>1.9073948970361905</v>
      </c>
      <c r="AW19" s="157">
        <v>2.8610923455542858</v>
      </c>
      <c r="AX19" s="157">
        <v>4.7684872425904761</v>
      </c>
      <c r="AY19" s="157">
        <v>5.7221846911085708</v>
      </c>
      <c r="AZ19" s="157">
        <v>2.8610923455542858</v>
      </c>
      <c r="BA19" s="157">
        <v>2.8610923455542858</v>
      </c>
      <c r="BB19" s="157">
        <v>5.7221846911085708</v>
      </c>
      <c r="BC19" s="157">
        <v>5.7221846911085708</v>
      </c>
      <c r="BD19" s="157">
        <v>6.6758821396266654</v>
      </c>
      <c r="BE19" s="157">
        <v>4.7684872425904761</v>
      </c>
      <c r="BF19" s="157">
        <v>1.9073948970361905</v>
      </c>
      <c r="BG19" s="157">
        <v>4.0070930233858446</v>
      </c>
      <c r="BH19" s="157">
        <v>3.9732000759161901</v>
      </c>
      <c r="BI19" s="157">
        <v>2.0232526299195679</v>
      </c>
      <c r="BJ19" s="157">
        <v>3.0481243431278218</v>
      </c>
      <c r="BL19" s="158">
        <v>36.240504561229528</v>
      </c>
      <c r="BM19" s="158">
        <v>13.351764838347719</v>
      </c>
      <c r="BN19" s="158">
        <v>26.703529676695439</v>
      </c>
      <c r="BO19" s="158">
        <v>27.657227165148846</v>
      </c>
      <c r="BP19" s="158">
        <v>9.5369744851809521</v>
      </c>
      <c r="BQ19" s="158">
        <v>11.444369382217143</v>
      </c>
      <c r="BR19" s="158">
        <v>18.120251521843805</v>
      </c>
      <c r="BS19" s="158">
        <v>10.682975163012511</v>
      </c>
      <c r="BT19" s="158">
        <v>9.0445770489635784</v>
      </c>
      <c r="BU19" s="158">
        <v>63.305301663176749</v>
      </c>
    </row>
    <row r="20" spans="2:73" x14ac:dyDescent="0.25">
      <c r="B20" s="151">
        <v>41104</v>
      </c>
      <c r="C20" s="151">
        <v>4</v>
      </c>
      <c r="D20" s="151" t="s">
        <v>1286</v>
      </c>
      <c r="E20" s="152">
        <v>1.758820309133053E-2</v>
      </c>
      <c r="F20" s="152">
        <v>3.165876556439496E-2</v>
      </c>
      <c r="G20" s="152">
        <v>2.1105843709596638E-2</v>
      </c>
      <c r="H20" s="152">
        <v>3.5176406182661067E-2</v>
      </c>
      <c r="I20" s="152">
        <v>2.1105843709596638E-2</v>
      </c>
      <c r="J20" s="152">
        <v>1.4070562473064424E-2</v>
      </c>
      <c r="K20" s="152">
        <v>1.758820309133053E-2</v>
      </c>
      <c r="L20" s="152">
        <v>3.5176406182661067E-2</v>
      </c>
      <c r="M20" s="152">
        <v>2.4623484327862745E-2</v>
      </c>
      <c r="N20" s="152">
        <v>7.7388093601854349E-2</v>
      </c>
      <c r="O20" s="152">
        <v>4.5729328037459389E-2</v>
      </c>
      <c r="P20" s="152">
        <v>4.5729328037459389E-2</v>
      </c>
      <c r="Q20" s="152">
        <v>1.4070564000000001E-2</v>
      </c>
      <c r="R20" s="152">
        <v>2.4623487000000006E-2</v>
      </c>
      <c r="S20" s="152">
        <v>2.1105846000000004E-2</v>
      </c>
      <c r="T20" s="152">
        <v>2.1105846000000004E-2</v>
      </c>
      <c r="U20" s="152">
        <v>3.165876900000001E-2</v>
      </c>
      <c r="V20" s="152">
        <v>1.0552923000000001E-2</v>
      </c>
      <c r="W20" s="152">
        <v>4.5729333000000018E-2</v>
      </c>
      <c r="X20" s="152">
        <v>3.5176410000000012E-2</v>
      </c>
      <c r="Y20" s="152">
        <v>4.2211692000000016E-2</v>
      </c>
      <c r="Z20" s="152">
        <v>4.924697400000002E-2</v>
      </c>
      <c r="AA20" s="152">
        <v>3.8694051000000014E-2</v>
      </c>
      <c r="AB20" s="152">
        <v>5.4192819763249488E-2</v>
      </c>
      <c r="AC20" s="153">
        <v>3.6454259999999995E-2</v>
      </c>
      <c r="AD20" s="154">
        <v>2.4856207578924008E-2</v>
      </c>
      <c r="AE20" s="155">
        <v>1.2508326548738066E-2</v>
      </c>
      <c r="AF20" s="156">
        <v>7.3818794127662068E-2</v>
      </c>
      <c r="AH20" s="157">
        <v>1003</v>
      </c>
      <c r="AJ20" s="157">
        <v>4.8631118513584379</v>
      </c>
      <c r="AK20" s="157">
        <v>8.7536013324451893</v>
      </c>
      <c r="AL20" s="157">
        <v>5.8357342216301262</v>
      </c>
      <c r="AM20" s="157">
        <v>9.7262237027168776</v>
      </c>
      <c r="AN20" s="157">
        <v>5.8357342216301262</v>
      </c>
      <c r="AO20" s="157">
        <v>3.8904894810867505</v>
      </c>
      <c r="AP20" s="157">
        <v>4.8631118513584379</v>
      </c>
      <c r="AQ20" s="157">
        <v>9.7262237027168776</v>
      </c>
      <c r="AR20" s="157">
        <v>6.8083565919018136</v>
      </c>
      <c r="AS20" s="157">
        <v>21.397692145977128</v>
      </c>
      <c r="AT20" s="157">
        <v>12.644090813531943</v>
      </c>
      <c r="AU20" s="157">
        <v>12.644090813531943</v>
      </c>
      <c r="AV20" s="157">
        <v>3.8904899032821536</v>
      </c>
      <c r="AW20" s="157">
        <v>6.808357330743771</v>
      </c>
      <c r="AX20" s="157">
        <v>5.8357348549232313</v>
      </c>
      <c r="AY20" s="157">
        <v>5.8357348549232313</v>
      </c>
      <c r="AZ20" s="157">
        <v>8.7536022823848487</v>
      </c>
      <c r="BA20" s="157">
        <v>2.9178674274616152</v>
      </c>
      <c r="BB20" s="157">
        <v>12.644092185667004</v>
      </c>
      <c r="BC20" s="157">
        <v>9.7262247582053867</v>
      </c>
      <c r="BD20" s="157">
        <v>11.671469709846464</v>
      </c>
      <c r="BE20" s="157">
        <v>13.616714661487544</v>
      </c>
      <c r="BF20" s="157">
        <v>10.698847234025926</v>
      </c>
      <c r="BG20" s="157">
        <v>14.984233618447114</v>
      </c>
      <c r="BH20" s="157">
        <v>10.07954837216351</v>
      </c>
      <c r="BI20" s="157">
        <v>6.8727042227794986</v>
      </c>
      <c r="BJ20" s="157">
        <v>3.4585335843553642</v>
      </c>
      <c r="BL20" s="158">
        <v>19.452447405433752</v>
      </c>
      <c r="BM20" s="158">
        <v>19.452447405433755</v>
      </c>
      <c r="BN20" s="158">
        <v>21.397692145977128</v>
      </c>
      <c r="BO20" s="158">
        <v>46.68587377304101</v>
      </c>
      <c r="BP20" s="158">
        <v>16.534582088949158</v>
      </c>
      <c r="BQ20" s="158">
        <v>17.507204564769694</v>
      </c>
      <c r="BR20" s="158">
        <v>34.041786653718852</v>
      </c>
      <c r="BS20" s="158">
        <v>39.299795513960582</v>
      </c>
      <c r="BT20" s="158">
        <v>20.410786179298373</v>
      </c>
      <c r="BU20" s="158">
        <v>98.671658089492482</v>
      </c>
    </row>
    <row r="21" spans="2:73" x14ac:dyDescent="0.25">
      <c r="B21" s="151">
        <v>20105</v>
      </c>
      <c r="C21" s="151">
        <v>4</v>
      </c>
      <c r="D21" s="151" t="s">
        <v>1175</v>
      </c>
      <c r="E21" s="152">
        <v>2.1991077772471553E-2</v>
      </c>
      <c r="F21" s="152">
        <v>3.7109943741045745E-2</v>
      </c>
      <c r="G21" s="152">
        <v>2.0616635411692081E-2</v>
      </c>
      <c r="H21" s="152">
        <v>3.43610590194868E-2</v>
      </c>
      <c r="I21" s="152">
        <v>1.6493308329353664E-2</v>
      </c>
      <c r="J21" s="152">
        <v>1.0995538886235777E-2</v>
      </c>
      <c r="K21" s="152">
        <v>1.0995538886235777E-2</v>
      </c>
      <c r="L21" s="152">
        <v>1.2369981247015249E-2</v>
      </c>
      <c r="M21" s="152">
        <v>1.7867750690133136E-2</v>
      </c>
      <c r="N21" s="152">
        <v>4.1233270823384162E-2</v>
      </c>
      <c r="O21" s="152">
        <v>2.7488847215589442E-2</v>
      </c>
      <c r="P21" s="152">
        <v>2.7488847215589442E-2</v>
      </c>
      <c r="Q21" s="152">
        <v>1.374442E-2</v>
      </c>
      <c r="R21" s="152">
        <v>1.0995536E-2</v>
      </c>
      <c r="S21" s="152">
        <v>1.0995536E-2</v>
      </c>
      <c r="T21" s="152">
        <v>8.2466520000000001E-3</v>
      </c>
      <c r="U21" s="152">
        <v>1.7867746E-2</v>
      </c>
      <c r="V21" s="152">
        <v>9.6210940000000002E-3</v>
      </c>
      <c r="W21" s="152">
        <v>3.0237724000000001E-2</v>
      </c>
      <c r="X21" s="152">
        <v>1.9242188E-2</v>
      </c>
      <c r="Y21" s="152">
        <v>1.7867746E-2</v>
      </c>
      <c r="Z21" s="152">
        <v>1.9242188E-2</v>
      </c>
      <c r="AA21" s="152">
        <v>1.5118862E-2</v>
      </c>
      <c r="AB21" s="152">
        <v>1.539976004705015E-2</v>
      </c>
      <c r="AC21" s="153">
        <v>2.0064967999999999E-2</v>
      </c>
      <c r="AD21" s="154">
        <v>1.6999870540585525E-2</v>
      </c>
      <c r="AE21" s="155">
        <v>1.4099622529790537E-2</v>
      </c>
      <c r="AF21" s="156">
        <v>5.1164461070376061E-2</v>
      </c>
      <c r="AH21" s="157">
        <v>385</v>
      </c>
      <c r="AJ21" s="157">
        <v>15.840887315542833</v>
      </c>
      <c r="AK21" s="157">
        <v>26.731497344978532</v>
      </c>
      <c r="AL21" s="157">
        <v>14.850831858321406</v>
      </c>
      <c r="AM21" s="157">
        <v>24.751386430535678</v>
      </c>
      <c r="AN21" s="157">
        <v>11.880665486657126</v>
      </c>
      <c r="AO21" s="157">
        <v>7.9204436577714166</v>
      </c>
      <c r="AP21" s="157">
        <v>7.9204436577714166</v>
      </c>
      <c r="AQ21" s="157">
        <v>8.9104991149928434</v>
      </c>
      <c r="AR21" s="157">
        <v>12.870720943878551</v>
      </c>
      <c r="AS21" s="157">
        <v>29.701663716642813</v>
      </c>
      <c r="AT21" s="157">
        <v>19.801109144428541</v>
      </c>
      <c r="AU21" s="157">
        <v>19.801109144428541</v>
      </c>
      <c r="AV21" s="157">
        <v>9.9005519734025977</v>
      </c>
      <c r="AW21" s="157">
        <v>7.9204415787220785</v>
      </c>
      <c r="AX21" s="157">
        <v>7.9204415787220785</v>
      </c>
      <c r="AY21" s="157">
        <v>5.9403311840415585</v>
      </c>
      <c r="AZ21" s="157">
        <v>12.870717565423377</v>
      </c>
      <c r="BA21" s="157">
        <v>6.9303863813818181</v>
      </c>
      <c r="BB21" s="157">
        <v>21.781214341485715</v>
      </c>
      <c r="BC21" s="157">
        <v>13.860772762763636</v>
      </c>
      <c r="BD21" s="157">
        <v>12.870717565423377</v>
      </c>
      <c r="BE21" s="157">
        <v>13.860772762763636</v>
      </c>
      <c r="BF21" s="157">
        <v>10.890607170742857</v>
      </c>
      <c r="BG21" s="157">
        <v>11.092947154099543</v>
      </c>
      <c r="BH21" s="157">
        <v>14.4534479104</v>
      </c>
      <c r="BI21" s="157">
        <v>12.245558694232473</v>
      </c>
      <c r="BJ21" s="157">
        <v>10.156415888160389</v>
      </c>
      <c r="BL21" s="158">
        <v>57.423216518842771</v>
      </c>
      <c r="BM21" s="158">
        <v>44.552495574964219</v>
      </c>
      <c r="BN21" s="158">
        <v>29.701663716642813</v>
      </c>
      <c r="BO21" s="158">
        <v>69.303882005499887</v>
      </c>
      <c r="BP21" s="158">
        <v>25.741435130846753</v>
      </c>
      <c r="BQ21" s="158">
        <v>25.741435130846753</v>
      </c>
      <c r="BR21" s="158">
        <v>48.512704669672729</v>
      </c>
      <c r="BS21" s="158">
        <v>35.844327087606032</v>
      </c>
      <c r="BT21" s="158">
        <v>36.855422492792862</v>
      </c>
      <c r="BU21" s="158">
        <v>161.4142832686978</v>
      </c>
    </row>
    <row r="22" spans="2:73" x14ac:dyDescent="0.25">
      <c r="B22" s="160">
        <v>19104</v>
      </c>
      <c r="C22" s="160">
        <v>3</v>
      </c>
      <c r="D22" s="160" t="s">
        <v>1287</v>
      </c>
      <c r="E22" s="152">
        <v>9.9433527851870845E-3</v>
      </c>
      <c r="F22" s="152">
        <v>8.4136062028506084E-3</v>
      </c>
      <c r="G22" s="152">
        <v>1.3767719241028275E-2</v>
      </c>
      <c r="H22" s="152">
        <v>4.5892397470094232E-3</v>
      </c>
      <c r="I22" s="152">
        <v>2.2946198735047116E-3</v>
      </c>
      <c r="J22" s="152">
        <v>4.5892397470094232E-3</v>
      </c>
      <c r="K22" s="152">
        <v>6.8838596205141349E-3</v>
      </c>
      <c r="L22" s="152">
        <v>9.1784794940188465E-3</v>
      </c>
      <c r="M22" s="152">
        <v>6.8838596205141349E-3</v>
      </c>
      <c r="N22" s="152">
        <v>9.1784794940188465E-3</v>
      </c>
      <c r="O22" s="152">
        <v>8.4136062028506084E-3</v>
      </c>
      <c r="P22" s="152">
        <v>8.4136062028506084E-3</v>
      </c>
      <c r="Q22" s="152">
        <v>1.529746E-3</v>
      </c>
      <c r="R22" s="152">
        <v>3.059492E-3</v>
      </c>
      <c r="S22" s="152">
        <v>3.8243650000000001E-3</v>
      </c>
      <c r="T22" s="152">
        <v>5.3541109999999999E-3</v>
      </c>
      <c r="U22" s="152">
        <v>2.2946189999999999E-3</v>
      </c>
      <c r="V22" s="152">
        <v>2.2946189999999999E-3</v>
      </c>
      <c r="W22" s="152">
        <v>6.8838570000000002E-3</v>
      </c>
      <c r="X22" s="152">
        <v>3.059492E-3</v>
      </c>
      <c r="Y22" s="152">
        <v>6.1189840000000001E-3</v>
      </c>
      <c r="Z22" s="152">
        <v>5.3541109999999999E-3</v>
      </c>
      <c r="AA22" s="152">
        <v>3.059492E-3</v>
      </c>
      <c r="AB22" s="152">
        <v>3.2137207317044091E-3</v>
      </c>
      <c r="AC22" s="153">
        <v>4.6286339999999995E-3</v>
      </c>
      <c r="AD22" s="154">
        <v>1.5535129736827505E-3</v>
      </c>
      <c r="AE22" s="155">
        <v>3.1085781955443714E-3</v>
      </c>
      <c r="AF22" s="156">
        <v>9.2907251692271216E-3</v>
      </c>
      <c r="AH22" s="157">
        <v>208</v>
      </c>
      <c r="AJ22" s="157">
        <v>13.257548755819057</v>
      </c>
      <c r="AK22" s="157">
        <v>11.217925870308431</v>
      </c>
      <c r="AL22" s="157">
        <v>18.356605969595623</v>
      </c>
      <c r="AM22" s="157">
        <v>6.1188686565318724</v>
      </c>
      <c r="AN22" s="157">
        <v>3.0594343282659362</v>
      </c>
      <c r="AO22" s="157">
        <v>6.1188686565318724</v>
      </c>
      <c r="AP22" s="157">
        <v>9.1783029847978082</v>
      </c>
      <c r="AQ22" s="157">
        <v>12.237737313063745</v>
      </c>
      <c r="AR22" s="157">
        <v>9.1783029847978082</v>
      </c>
      <c r="AS22" s="157">
        <v>12.237737313063745</v>
      </c>
      <c r="AT22" s="157">
        <v>11.217925870308431</v>
      </c>
      <c r="AU22" s="157">
        <v>11.217925870308431</v>
      </c>
      <c r="AV22" s="157">
        <v>2.0396221090769231</v>
      </c>
      <c r="AW22" s="157">
        <v>4.0792442181538462</v>
      </c>
      <c r="AX22" s="157">
        <v>5.0990552726923077</v>
      </c>
      <c r="AY22" s="157">
        <v>7.1386773817692308</v>
      </c>
      <c r="AZ22" s="157">
        <v>3.0594331636153842</v>
      </c>
      <c r="BA22" s="157">
        <v>3.0594331636153842</v>
      </c>
      <c r="BB22" s="157">
        <v>9.1782994908461539</v>
      </c>
      <c r="BC22" s="157">
        <v>4.0792442181538462</v>
      </c>
      <c r="BD22" s="157">
        <v>8.1584884363076924</v>
      </c>
      <c r="BE22" s="157">
        <v>7.1386773817692308</v>
      </c>
      <c r="BF22" s="157">
        <v>4.0792442181538462</v>
      </c>
      <c r="BG22" s="157">
        <v>4.2848785725101939</v>
      </c>
      <c r="BH22" s="157">
        <v>6.1713933170769231</v>
      </c>
      <c r="BI22" s="157">
        <v>2.0713107979110088</v>
      </c>
      <c r="BJ22" s="157">
        <v>4.1446912202592765</v>
      </c>
      <c r="BL22" s="158">
        <v>42.832080595723113</v>
      </c>
      <c r="BM22" s="158">
        <v>15.29717164132968</v>
      </c>
      <c r="BN22" s="158">
        <v>30.594343282659359</v>
      </c>
      <c r="BO22" s="158">
        <v>34.673589053680601</v>
      </c>
      <c r="BP22" s="158">
        <v>11.217921599923077</v>
      </c>
      <c r="BQ22" s="158">
        <v>13.257543709</v>
      </c>
      <c r="BR22" s="158">
        <v>21.416032145307693</v>
      </c>
      <c r="BS22" s="158">
        <v>15.502800172433272</v>
      </c>
      <c r="BT22" s="158">
        <v>12.387395335247209</v>
      </c>
      <c r="BU22" s="158">
        <v>78.113687847015214</v>
      </c>
    </row>
    <row r="23" spans="2:73" x14ac:dyDescent="0.25">
      <c r="B23" s="151">
        <v>41101</v>
      </c>
      <c r="C23" s="151">
        <v>4</v>
      </c>
      <c r="D23" s="151" t="s">
        <v>1058</v>
      </c>
      <c r="E23" s="152">
        <v>1.3977379940130223E-3</v>
      </c>
      <c r="F23" s="152">
        <v>2.5159283892234401E-3</v>
      </c>
      <c r="G23" s="152">
        <v>1.6772855928156268E-3</v>
      </c>
      <c r="H23" s="152">
        <v>2.7954759880260446E-3</v>
      </c>
      <c r="I23" s="152">
        <v>1.6772855928156268E-3</v>
      </c>
      <c r="J23" s="152">
        <v>1.1181903952104178E-3</v>
      </c>
      <c r="K23" s="152">
        <v>1.3977379940130223E-3</v>
      </c>
      <c r="L23" s="152">
        <v>2.7954759880260446E-3</v>
      </c>
      <c r="M23" s="152">
        <v>1.9568331916182311E-3</v>
      </c>
      <c r="N23" s="152">
        <v>6.1500471736572982E-3</v>
      </c>
      <c r="O23" s="152">
        <v>3.6341187844338581E-3</v>
      </c>
      <c r="P23" s="152">
        <v>3.6341187844338581E-3</v>
      </c>
      <c r="Q23" s="152">
        <v>8.3864400000000004E-4</v>
      </c>
      <c r="R23" s="152">
        <v>1.9568360000000004E-3</v>
      </c>
      <c r="S23" s="152">
        <v>1.6772880000000003E-3</v>
      </c>
      <c r="T23" s="152">
        <v>1.6772880000000003E-3</v>
      </c>
      <c r="U23" s="152">
        <v>2.5159320000000007E-3</v>
      </c>
      <c r="V23" s="152">
        <v>8.3864400000000004E-4</v>
      </c>
      <c r="W23" s="152">
        <v>3.6341240000000012E-3</v>
      </c>
      <c r="X23" s="152">
        <v>2.7954800000000008E-3</v>
      </c>
      <c r="Y23" s="152">
        <v>3.354576000000001E-3</v>
      </c>
      <c r="Z23" s="152">
        <v>3.9136720000000009E-3</v>
      </c>
      <c r="AA23" s="152">
        <v>3.0750280000000009E-3</v>
      </c>
      <c r="AB23" s="152">
        <v>4.3067198668587459E-3</v>
      </c>
      <c r="AC23" s="153">
        <v>3.1008799999999999E-3</v>
      </c>
      <c r="AD23" s="154">
        <v>2.7815279909748293E-3</v>
      </c>
      <c r="AE23" s="155">
        <v>1.7578269558137815E-3</v>
      </c>
      <c r="AF23" s="156">
        <v>7.6402349467886103E-3</v>
      </c>
      <c r="AH23" s="157">
        <v>85</v>
      </c>
      <c r="AJ23" s="157">
        <v>4.5603750871016873</v>
      </c>
      <c r="AK23" s="157">
        <v>8.2086751567830376</v>
      </c>
      <c r="AL23" s="157">
        <v>5.472450104522026</v>
      </c>
      <c r="AM23" s="157">
        <v>9.1207501742033745</v>
      </c>
      <c r="AN23" s="157">
        <v>5.472450104522026</v>
      </c>
      <c r="AO23" s="157">
        <v>3.6483000696813499</v>
      </c>
      <c r="AP23" s="157">
        <v>4.5603750871016873</v>
      </c>
      <c r="AQ23" s="157">
        <v>9.1207501742033745</v>
      </c>
      <c r="AR23" s="157">
        <v>6.384525121942362</v>
      </c>
      <c r="AS23" s="157">
        <v>20.065650383247423</v>
      </c>
      <c r="AT23" s="157">
        <v>11.856975226464389</v>
      </c>
      <c r="AU23" s="157">
        <v>11.856975226464389</v>
      </c>
      <c r="AV23" s="157">
        <v>2.7362289792000003</v>
      </c>
      <c r="AW23" s="157">
        <v>6.3845342848000017</v>
      </c>
      <c r="AX23" s="157">
        <v>5.4724579584000015</v>
      </c>
      <c r="AY23" s="157">
        <v>5.4724579584000015</v>
      </c>
      <c r="AZ23" s="157">
        <v>8.2086869376000031</v>
      </c>
      <c r="BA23" s="157">
        <v>2.7362289792000003</v>
      </c>
      <c r="BB23" s="157">
        <v>11.856992243200002</v>
      </c>
      <c r="BC23" s="157">
        <v>9.1207632640000025</v>
      </c>
      <c r="BD23" s="157">
        <v>10.944915916800003</v>
      </c>
      <c r="BE23" s="157">
        <v>12.769068569600003</v>
      </c>
      <c r="BF23" s="157">
        <v>10.032839590400004</v>
      </c>
      <c r="BG23" s="157">
        <v>14.051458908661203</v>
      </c>
      <c r="BH23" s="157">
        <v>10.117186454588236</v>
      </c>
      <c r="BI23" s="157">
        <v>9.0752422903654999</v>
      </c>
      <c r="BJ23" s="157">
        <v>5.7352309882579338</v>
      </c>
      <c r="BL23" s="158">
        <v>18.241500348406749</v>
      </c>
      <c r="BM23" s="158">
        <v>18.241500348406753</v>
      </c>
      <c r="BN23" s="158">
        <v>20.065650383247423</v>
      </c>
      <c r="BO23" s="158">
        <v>43.779600836176201</v>
      </c>
      <c r="BP23" s="158">
        <v>14.593221222400004</v>
      </c>
      <c r="BQ23" s="158">
        <v>16.417373875200006</v>
      </c>
      <c r="BR23" s="158">
        <v>31.922671424000008</v>
      </c>
      <c r="BS23" s="158">
        <v>36.853367068661214</v>
      </c>
      <c r="BT23" s="158">
        <v>24.927659733211669</v>
      </c>
      <c r="BU23" s="158">
        <v>99.941841479781672</v>
      </c>
    </row>
    <row r="24" spans="2:73" x14ac:dyDescent="0.25">
      <c r="B24" s="151">
        <v>20104</v>
      </c>
      <c r="C24" s="151">
        <v>4</v>
      </c>
      <c r="D24" s="151" t="s">
        <v>1288</v>
      </c>
      <c r="E24" s="152">
        <v>2.5236936003012904E-4</v>
      </c>
      <c r="F24" s="152">
        <v>4.6591266467100754E-4</v>
      </c>
      <c r="G24" s="152">
        <v>9.706513847312654E-5</v>
      </c>
      <c r="H24" s="152">
        <v>3.6884752619788095E-4</v>
      </c>
      <c r="I24" s="152">
        <v>1.3589119386237715E-4</v>
      </c>
      <c r="J24" s="152">
        <v>5.823908308387593E-5</v>
      </c>
      <c r="K24" s="152">
        <v>1.5530422155700247E-4</v>
      </c>
      <c r="L24" s="152">
        <v>1.5530422155700247E-4</v>
      </c>
      <c r="M24" s="152">
        <v>1.3589119386237715E-4</v>
      </c>
      <c r="N24" s="152">
        <v>5.2415174775488345E-4</v>
      </c>
      <c r="O24" s="152">
        <v>2.5236936003012904E-4</v>
      </c>
      <c r="P24" s="152">
        <v>2.5236936003012904E-4</v>
      </c>
      <c r="Q24" s="152">
        <v>1.3589099999999999E-4</v>
      </c>
      <c r="R24" s="152">
        <v>1.3589099999999999E-4</v>
      </c>
      <c r="S24" s="152">
        <v>1.3589099999999999E-4</v>
      </c>
      <c r="T24" s="152">
        <v>1.1647799999999999E-4</v>
      </c>
      <c r="U24" s="152">
        <v>2.5236900000000001E-4</v>
      </c>
      <c r="V24" s="152">
        <v>1.3589099999999999E-4</v>
      </c>
      <c r="W24" s="152">
        <v>4.0767300000000021E-4</v>
      </c>
      <c r="X24" s="152">
        <v>2.7178200000000003E-4</v>
      </c>
      <c r="Y24" s="152">
        <v>2.5236900000000001E-4</v>
      </c>
      <c r="Z24" s="152">
        <v>2.3295599999999998E-4</v>
      </c>
      <c r="AA24" s="152">
        <v>2.1354299999999998E-4</v>
      </c>
      <c r="AB24" s="152">
        <v>2.1751048192167043E-4</v>
      </c>
      <c r="AC24" s="153">
        <v>7.5631200000000022E-5</v>
      </c>
      <c r="AD24" s="154">
        <v>5.9181446616485725E-5</v>
      </c>
      <c r="AE24" s="155">
        <v>2.9605506624232107E-5</v>
      </c>
      <c r="AF24" s="156">
        <v>1.6441815324071785E-4</v>
      </c>
      <c r="AH24" s="157">
        <v>0</v>
      </c>
      <c r="AJ24" s="157">
        <v>0</v>
      </c>
      <c r="AK24" s="157">
        <v>0</v>
      </c>
      <c r="AL24" s="157">
        <v>0</v>
      </c>
      <c r="AM24" s="157">
        <v>0</v>
      </c>
      <c r="AN24" s="157">
        <v>0</v>
      </c>
      <c r="AO24" s="157">
        <v>0</v>
      </c>
      <c r="AP24" s="157">
        <v>0</v>
      </c>
      <c r="AQ24" s="157">
        <v>0</v>
      </c>
      <c r="AR24" s="157">
        <v>0</v>
      </c>
      <c r="AS24" s="157">
        <v>0</v>
      </c>
      <c r="AT24" s="157">
        <v>0</v>
      </c>
      <c r="AU24" s="157">
        <v>0</v>
      </c>
      <c r="AV24" s="157">
        <v>0</v>
      </c>
      <c r="AW24" s="157">
        <v>0</v>
      </c>
      <c r="AX24" s="157">
        <v>0</v>
      </c>
      <c r="AY24" s="157">
        <v>0</v>
      </c>
      <c r="AZ24" s="157">
        <v>0</v>
      </c>
      <c r="BA24" s="157">
        <v>0</v>
      </c>
      <c r="BB24" s="157">
        <v>0</v>
      </c>
      <c r="BC24" s="157">
        <v>0</v>
      </c>
      <c r="BD24" s="157">
        <v>0</v>
      </c>
      <c r="BE24" s="157">
        <v>0</v>
      </c>
      <c r="BF24" s="157">
        <v>0</v>
      </c>
      <c r="BG24" s="157">
        <v>0</v>
      </c>
      <c r="BH24" s="157">
        <v>0</v>
      </c>
      <c r="BI24" s="157">
        <v>0</v>
      </c>
      <c r="BJ24" s="157">
        <v>0</v>
      </c>
      <c r="BL24" s="158">
        <v>0</v>
      </c>
      <c r="BM24" s="158">
        <v>0</v>
      </c>
      <c r="BN24" s="158">
        <v>0</v>
      </c>
      <c r="BO24" s="158">
        <v>0</v>
      </c>
      <c r="BP24" s="158">
        <v>0</v>
      </c>
      <c r="BQ24" s="158">
        <v>0</v>
      </c>
      <c r="BR24" s="158">
        <v>0</v>
      </c>
      <c r="BS24" s="158">
        <v>0</v>
      </c>
      <c r="BT24" s="158">
        <v>0</v>
      </c>
      <c r="BU24" s="158">
        <v>0</v>
      </c>
    </row>
    <row r="25" spans="2:73" x14ac:dyDescent="0.25">
      <c r="B25" s="151">
        <v>20102</v>
      </c>
      <c r="C25" s="151">
        <v>4</v>
      </c>
      <c r="D25" s="151" t="s">
        <v>1289</v>
      </c>
      <c r="E25" s="152">
        <v>1.0871295508990172E-4</v>
      </c>
      <c r="F25" s="152">
        <v>1.8636506586840296E-4</v>
      </c>
      <c r="G25" s="152">
        <v>3.8826055389250617E-5</v>
      </c>
      <c r="H25" s="152">
        <v>1.3977379940130223E-4</v>
      </c>
      <c r="I25" s="152">
        <v>6.2121688622800991E-5</v>
      </c>
      <c r="J25" s="152">
        <v>2.3295633233550373E-5</v>
      </c>
      <c r="K25" s="152">
        <v>6.2121688622800991E-5</v>
      </c>
      <c r="L25" s="152">
        <v>6.2121688622800991E-5</v>
      </c>
      <c r="M25" s="152">
        <v>6.2121688622800991E-5</v>
      </c>
      <c r="N25" s="152">
        <v>2.0966069910195332E-4</v>
      </c>
      <c r="O25" s="152">
        <v>1.009477440120516E-4</v>
      </c>
      <c r="P25" s="152">
        <v>1.009477440120516E-4</v>
      </c>
      <c r="Q25" s="152">
        <v>5.4356469999999998E-5</v>
      </c>
      <c r="R25" s="152">
        <v>5.4356469999999998E-5</v>
      </c>
      <c r="S25" s="152">
        <v>5.4356469999999998E-5</v>
      </c>
      <c r="T25" s="152">
        <v>3.8826050000000001E-5</v>
      </c>
      <c r="U25" s="152">
        <v>1.0094773000000003E-4</v>
      </c>
      <c r="V25" s="152">
        <v>5.4356469999999998E-5</v>
      </c>
      <c r="W25" s="152">
        <v>1.6306940999999999E-4</v>
      </c>
      <c r="X25" s="152">
        <v>1.1647815000000004E-4</v>
      </c>
      <c r="Y25" s="152">
        <v>1.0094773000000003E-4</v>
      </c>
      <c r="Z25" s="152">
        <v>1.0094773000000003E-4</v>
      </c>
      <c r="AA25" s="152">
        <v>9.3182520000000026E-5</v>
      </c>
      <c r="AB25" s="152">
        <v>8.7004304812392458E-5</v>
      </c>
      <c r="AC25" s="153">
        <v>3.7815600000000011E-5</v>
      </c>
      <c r="AD25" s="154">
        <v>2.9590723308242863E-5</v>
      </c>
      <c r="AE25" s="155">
        <v>3.3306194952261117E-5</v>
      </c>
      <c r="AF25" s="156">
        <v>1.0071251826050399E-4</v>
      </c>
      <c r="AH25" s="157">
        <v>0</v>
      </c>
      <c r="AJ25" s="157">
        <v>0</v>
      </c>
      <c r="AK25" s="157">
        <v>0</v>
      </c>
      <c r="AL25" s="157">
        <v>0</v>
      </c>
      <c r="AM25" s="157">
        <v>0</v>
      </c>
      <c r="AN25" s="157">
        <v>0</v>
      </c>
      <c r="AO25" s="157">
        <v>0</v>
      </c>
      <c r="AP25" s="157">
        <v>0</v>
      </c>
      <c r="AQ25" s="157">
        <v>0</v>
      </c>
      <c r="AR25" s="157">
        <v>0</v>
      </c>
      <c r="AS25" s="157">
        <v>0</v>
      </c>
      <c r="AT25" s="157">
        <v>0</v>
      </c>
      <c r="AU25" s="157">
        <v>0</v>
      </c>
      <c r="AV25" s="157">
        <v>0</v>
      </c>
      <c r="AW25" s="157">
        <v>0</v>
      </c>
      <c r="AX25" s="157">
        <v>0</v>
      </c>
      <c r="AY25" s="157">
        <v>0</v>
      </c>
      <c r="AZ25" s="157">
        <v>0</v>
      </c>
      <c r="BA25" s="157">
        <v>0</v>
      </c>
      <c r="BB25" s="157">
        <v>0</v>
      </c>
      <c r="BC25" s="157">
        <v>0</v>
      </c>
      <c r="BD25" s="157">
        <v>0</v>
      </c>
      <c r="BE25" s="157">
        <v>0</v>
      </c>
      <c r="BF25" s="157">
        <v>0</v>
      </c>
      <c r="BG25" s="157">
        <v>0</v>
      </c>
      <c r="BH25" s="157">
        <v>0</v>
      </c>
      <c r="BI25" s="157">
        <v>0</v>
      </c>
      <c r="BJ25" s="157">
        <v>0</v>
      </c>
      <c r="BL25" s="158">
        <v>0</v>
      </c>
      <c r="BM25" s="158">
        <v>0</v>
      </c>
      <c r="BN25" s="158">
        <v>0</v>
      </c>
      <c r="BO25" s="158">
        <v>0</v>
      </c>
      <c r="BP25" s="158">
        <v>0</v>
      </c>
      <c r="BQ25" s="158">
        <v>0</v>
      </c>
      <c r="BR25" s="158">
        <v>0</v>
      </c>
      <c r="BS25" s="158">
        <v>0</v>
      </c>
      <c r="BT25" s="158">
        <v>0</v>
      </c>
      <c r="BU25" s="158">
        <v>0</v>
      </c>
    </row>
    <row r="28" spans="2:73" ht="15.75" x14ac:dyDescent="0.25">
      <c r="B28" s="139" t="s">
        <v>1240</v>
      </c>
      <c r="C28" s="139"/>
      <c r="AH28" s="140" t="s">
        <v>1182</v>
      </c>
    </row>
    <row r="29" spans="2:73" ht="15.75" x14ac:dyDescent="0.25">
      <c r="B29" s="141" t="s">
        <v>1241</v>
      </c>
      <c r="AH29" s="142" t="s">
        <v>8</v>
      </c>
    </row>
    <row r="30" spans="2:73" x14ac:dyDescent="0.25">
      <c r="B30" t="s">
        <v>1242</v>
      </c>
      <c r="AC30" s="143"/>
      <c r="AH30" s="144">
        <v>277328</v>
      </c>
    </row>
    <row r="32" spans="2:73" ht="15.75" x14ac:dyDescent="0.25">
      <c r="B32" s="745" t="s">
        <v>1243</v>
      </c>
      <c r="C32" s="745"/>
      <c r="D32" s="745"/>
      <c r="E32" s="742" t="s">
        <v>1293</v>
      </c>
      <c r="F32" s="743"/>
      <c r="G32" s="743"/>
      <c r="H32" s="743"/>
      <c r="I32" s="743"/>
      <c r="J32" s="743"/>
      <c r="K32" s="743"/>
      <c r="L32" s="743"/>
      <c r="M32" s="743"/>
      <c r="N32" s="743"/>
      <c r="O32" s="743"/>
      <c r="P32" s="744"/>
      <c r="Q32" s="746" t="s">
        <v>1294</v>
      </c>
      <c r="R32" s="747"/>
      <c r="S32" s="747"/>
      <c r="T32" s="747"/>
      <c r="U32" s="747"/>
      <c r="V32" s="747"/>
      <c r="W32" s="747"/>
      <c r="X32" s="747"/>
      <c r="Y32" s="747"/>
      <c r="Z32" s="747"/>
      <c r="AA32" s="747"/>
      <c r="AB32" s="748"/>
      <c r="AC32" s="749"/>
      <c r="AD32" s="749"/>
      <c r="AE32" s="749"/>
      <c r="AF32" s="740" t="s">
        <v>1246</v>
      </c>
      <c r="AH32" s="145" t="s">
        <v>1182</v>
      </c>
      <c r="AJ32" s="742" t="s">
        <v>1295</v>
      </c>
      <c r="AK32" s="743"/>
      <c r="AL32" s="743"/>
      <c r="AM32" s="743"/>
      <c r="AN32" s="743"/>
      <c r="AO32" s="743"/>
      <c r="AP32" s="743"/>
      <c r="AQ32" s="743"/>
      <c r="AR32" s="743"/>
      <c r="AS32" s="743"/>
      <c r="AT32" s="743"/>
      <c r="AU32" s="744"/>
      <c r="AV32" s="746" t="s">
        <v>1296</v>
      </c>
      <c r="AW32" s="747"/>
      <c r="AX32" s="747"/>
      <c r="AY32" s="747"/>
      <c r="AZ32" s="747"/>
      <c r="BA32" s="747"/>
      <c r="BB32" s="747"/>
      <c r="BC32" s="747"/>
      <c r="BD32" s="747"/>
      <c r="BE32" s="747"/>
      <c r="BF32" s="747"/>
      <c r="BG32" s="748"/>
      <c r="BH32" s="751" t="s">
        <v>1297</v>
      </c>
      <c r="BI32" s="749"/>
      <c r="BJ32" s="752"/>
      <c r="BK32" s="44"/>
      <c r="BL32" s="753" t="s">
        <v>1290</v>
      </c>
      <c r="BM32" s="753"/>
      <c r="BN32" s="753"/>
      <c r="BO32" s="753"/>
      <c r="BP32" s="750" t="s">
        <v>1291</v>
      </c>
      <c r="BQ32" s="750"/>
      <c r="BR32" s="750"/>
      <c r="BS32" s="750"/>
      <c r="BT32" s="146" t="s">
        <v>1292</v>
      </c>
      <c r="BU32" s="147" t="s">
        <v>1253</v>
      </c>
    </row>
    <row r="33" spans="2:73" ht="15.75" x14ac:dyDescent="0.25">
      <c r="B33" s="148" t="s">
        <v>1254</v>
      </c>
      <c r="C33" s="148" t="s">
        <v>1255</v>
      </c>
      <c r="D33" s="148" t="s">
        <v>1174</v>
      </c>
      <c r="E33" s="148" t="s">
        <v>1256</v>
      </c>
      <c r="F33" s="148" t="s">
        <v>1257</v>
      </c>
      <c r="G33" s="148" t="s">
        <v>1258</v>
      </c>
      <c r="H33" s="148" t="s">
        <v>1259</v>
      </c>
      <c r="I33" s="148" t="s">
        <v>1260</v>
      </c>
      <c r="J33" s="148" t="s">
        <v>1261</v>
      </c>
      <c r="K33" s="148" t="s">
        <v>1262</v>
      </c>
      <c r="L33" s="148" t="s">
        <v>1263</v>
      </c>
      <c r="M33" s="148" t="s">
        <v>1264</v>
      </c>
      <c r="N33" s="148" t="s">
        <v>1265</v>
      </c>
      <c r="O33" s="148" t="s">
        <v>1266</v>
      </c>
      <c r="P33" s="148" t="s">
        <v>1267</v>
      </c>
      <c r="Q33" s="148" t="s">
        <v>1256</v>
      </c>
      <c r="R33" s="148" t="s">
        <v>1257</v>
      </c>
      <c r="S33" s="148" t="s">
        <v>1258</v>
      </c>
      <c r="T33" s="148" t="s">
        <v>1259</v>
      </c>
      <c r="U33" s="148" t="s">
        <v>1260</v>
      </c>
      <c r="V33" s="148" t="s">
        <v>1261</v>
      </c>
      <c r="W33" s="148" t="s">
        <v>1262</v>
      </c>
      <c r="X33" s="148" t="s">
        <v>1263</v>
      </c>
      <c r="Y33" s="148" t="s">
        <v>1264</v>
      </c>
      <c r="Z33" s="148" t="s">
        <v>1265</v>
      </c>
      <c r="AA33" s="148" t="s">
        <v>1266</v>
      </c>
      <c r="AB33" s="148" t="s">
        <v>1267</v>
      </c>
      <c r="AC33" s="149" t="s">
        <v>1268</v>
      </c>
      <c r="AD33" s="149" t="s">
        <v>1269</v>
      </c>
      <c r="AE33" s="162" t="s">
        <v>1270</v>
      </c>
      <c r="AF33" s="741"/>
      <c r="AH33" s="142" t="s">
        <v>1271</v>
      </c>
      <c r="AJ33" s="148" t="s">
        <v>1256</v>
      </c>
      <c r="AK33" s="148" t="s">
        <v>1257</v>
      </c>
      <c r="AL33" s="148" t="s">
        <v>1258</v>
      </c>
      <c r="AM33" s="148" t="s">
        <v>1259</v>
      </c>
      <c r="AN33" s="148" t="s">
        <v>1260</v>
      </c>
      <c r="AO33" s="148" t="s">
        <v>1261</v>
      </c>
      <c r="AP33" s="148" t="s">
        <v>1262</v>
      </c>
      <c r="AQ33" s="148" t="s">
        <v>1263</v>
      </c>
      <c r="AR33" s="148" t="s">
        <v>1264</v>
      </c>
      <c r="AS33" s="148" t="s">
        <v>1265</v>
      </c>
      <c r="AT33" s="148" t="s">
        <v>1266</v>
      </c>
      <c r="AU33" s="148" t="s">
        <v>1267</v>
      </c>
      <c r="AV33" s="148" t="s">
        <v>1256</v>
      </c>
      <c r="AW33" s="148" t="s">
        <v>1257</v>
      </c>
      <c r="AX33" s="148" t="s">
        <v>1258</v>
      </c>
      <c r="AY33" s="148" t="s">
        <v>1259</v>
      </c>
      <c r="AZ33" s="148" t="s">
        <v>1260</v>
      </c>
      <c r="BA33" s="148" t="s">
        <v>1261</v>
      </c>
      <c r="BB33" s="148" t="s">
        <v>1262</v>
      </c>
      <c r="BC33" s="148" t="s">
        <v>1263</v>
      </c>
      <c r="BD33" s="148" t="s">
        <v>1264</v>
      </c>
      <c r="BE33" s="148" t="s">
        <v>1265</v>
      </c>
      <c r="BF33" s="148" t="s">
        <v>1266</v>
      </c>
      <c r="BG33" s="148" t="s">
        <v>1267</v>
      </c>
      <c r="BH33" s="149" t="s">
        <v>1268</v>
      </c>
      <c r="BI33" s="149" t="s">
        <v>1269</v>
      </c>
      <c r="BJ33" s="149" t="s">
        <v>1270</v>
      </c>
      <c r="BK33" s="44"/>
      <c r="BL33" s="150" t="s">
        <v>1272</v>
      </c>
      <c r="BM33" s="150" t="s">
        <v>1273</v>
      </c>
      <c r="BN33" s="150" t="s">
        <v>1274</v>
      </c>
      <c r="BO33" s="150" t="s">
        <v>1275</v>
      </c>
      <c r="BP33" s="150" t="s">
        <v>1272</v>
      </c>
      <c r="BQ33" s="150" t="s">
        <v>1273</v>
      </c>
      <c r="BR33" s="150" t="s">
        <v>1274</v>
      </c>
      <c r="BS33" s="150" t="s">
        <v>1275</v>
      </c>
      <c r="BT33" s="150" t="s">
        <v>1272</v>
      </c>
      <c r="BU33" s="150" t="s">
        <v>1276</v>
      </c>
    </row>
    <row r="34" spans="2:73" x14ac:dyDescent="0.25">
      <c r="B34" s="159">
        <v>23102</v>
      </c>
      <c r="C34" s="159">
        <v>3</v>
      </c>
      <c r="D34" s="159" t="s">
        <v>1278</v>
      </c>
      <c r="E34" s="152">
        <v>3.8493704355118633E-2</v>
      </c>
      <c r="F34" s="152">
        <v>0.31785610287351634</v>
      </c>
      <c r="G34" s="152">
        <v>0.26209683994735195</v>
      </c>
      <c r="H34" s="152">
        <v>0.10882962738634648</v>
      </c>
      <c r="I34" s="152">
        <v>0.15185200284206726</v>
      </c>
      <c r="J34" s="152">
        <v>7.9251744260538382E-3</v>
      </c>
      <c r="K34" s="152">
        <v>1.2453845526656031E-2</v>
      </c>
      <c r="L34" s="152">
        <v>4.0333476989738277E-2</v>
      </c>
      <c r="M34" s="152">
        <v>0.25954946245326321</v>
      </c>
      <c r="N34" s="152">
        <v>0.37630426426566316</v>
      </c>
      <c r="O34" s="152">
        <v>0.21171537395315257</v>
      </c>
      <c r="P34" s="152">
        <v>9.5668177000221358E-2</v>
      </c>
      <c r="Q34" s="152">
        <v>5.632534899999999E-2</v>
      </c>
      <c r="R34" s="152">
        <v>0.18907202000000004</v>
      </c>
      <c r="S34" s="152">
        <v>0.15666371700000001</v>
      </c>
      <c r="T34" s="152">
        <v>4.8258653999999977E-2</v>
      </c>
      <c r="U34" s="152">
        <v>3.8493706999999995E-2</v>
      </c>
      <c r="V34" s="152">
        <v>1.4152097000000001E-2</v>
      </c>
      <c r="W34" s="152">
        <v>5.0522987999999998E-2</v>
      </c>
      <c r="X34" s="152">
        <v>5.4061011999999978E-2</v>
      </c>
      <c r="Y34" s="152">
        <v>3.6512412000000008E-2</v>
      </c>
      <c r="Z34" s="152">
        <v>0.48088826700000004</v>
      </c>
      <c r="AA34" s="152">
        <v>0.36243521000000012</v>
      </c>
      <c r="AB34" s="152">
        <v>0.25396184696645679</v>
      </c>
      <c r="AC34" s="153">
        <v>4.7790625999999996E-2</v>
      </c>
      <c r="AD34" s="154">
        <v>0.17059557495391867</v>
      </c>
      <c r="AE34" s="153">
        <v>7.3312486122418781E-3</v>
      </c>
      <c r="AF34" s="156">
        <v>0.22571744956616055</v>
      </c>
      <c r="AH34" s="157">
        <v>2675</v>
      </c>
      <c r="AJ34" s="157">
        <v>3.9907970248210618</v>
      </c>
      <c r="AK34" s="157">
        <v>32.953419550544503</v>
      </c>
      <c r="AL34" s="157">
        <v>27.17263268370812</v>
      </c>
      <c r="AM34" s="157">
        <v>11.282804823850729</v>
      </c>
      <c r="AN34" s="157">
        <v>15.743107381003675</v>
      </c>
      <c r="AO34" s="157">
        <v>0.82163468158080699</v>
      </c>
      <c r="AP34" s="157">
        <v>1.2911402139126968</v>
      </c>
      <c r="AQ34" s="157">
        <v>4.1815336473308928</v>
      </c>
      <c r="AR34" s="157">
        <v>26.90853582177143</v>
      </c>
      <c r="AS34" s="157">
        <v>39.01297532720293</v>
      </c>
      <c r="AT34" s="157">
        <v>21.949383636515847</v>
      </c>
      <c r="AU34" s="157">
        <v>9.9183043705111729</v>
      </c>
      <c r="AV34" s="157">
        <v>5.8394752850362606</v>
      </c>
      <c r="AW34" s="157">
        <v>19.601856135536451</v>
      </c>
      <c r="AX34" s="157">
        <v>16.241957124551774</v>
      </c>
      <c r="AY34" s="157">
        <v>5.0031685968269137</v>
      </c>
      <c r="AZ34" s="157">
        <v>3.9907972990265419</v>
      </c>
      <c r="BA34" s="157">
        <v>1.4672047689031777</v>
      </c>
      <c r="BB34" s="157">
        <v>5.2379212022669162</v>
      </c>
      <c r="BC34" s="157">
        <v>5.6047223685742029</v>
      </c>
      <c r="BD34" s="157">
        <v>3.7853884841629912</v>
      </c>
      <c r="BE34" s="157">
        <v>49.855619181523743</v>
      </c>
      <c r="BF34" s="157">
        <v>37.575114736029917</v>
      </c>
      <c r="BG34" s="157">
        <v>26.329245269350853</v>
      </c>
      <c r="BH34" s="157">
        <v>4.9546462532067288</v>
      </c>
      <c r="BI34" s="157">
        <v>17.686328826474899</v>
      </c>
      <c r="BJ34" s="157">
        <v>0.76006000565824883</v>
      </c>
      <c r="BK34" s="44"/>
      <c r="BL34" s="161">
        <v>64.116849259073689</v>
      </c>
      <c r="BM34" s="161">
        <v>27.847546886435211</v>
      </c>
      <c r="BN34" s="161">
        <v>32.381209683015022</v>
      </c>
      <c r="BO34" s="161">
        <v>70.880663334229951</v>
      </c>
      <c r="BP34" s="161">
        <v>41.683288545124483</v>
      </c>
      <c r="BQ34" s="161">
        <v>10.461170664756635</v>
      </c>
      <c r="BR34" s="161">
        <v>14.628032055004111</v>
      </c>
      <c r="BS34" s="161">
        <v>113.7599791869045</v>
      </c>
      <c r="BT34" s="161">
        <v>23.401035085339878</v>
      </c>
      <c r="BU34" s="161">
        <v>156.4542933186344</v>
      </c>
    </row>
    <row r="35" spans="2:73" x14ac:dyDescent="0.25">
      <c r="B35" s="151">
        <v>20106</v>
      </c>
      <c r="C35" s="151">
        <v>4</v>
      </c>
      <c r="D35" s="151" t="s">
        <v>1277</v>
      </c>
      <c r="E35" s="152">
        <v>0.52175656839792051</v>
      </c>
      <c r="F35" s="152">
        <v>0.4071155217510033</v>
      </c>
      <c r="G35" s="152">
        <v>0.59809072872623359</v>
      </c>
      <c r="H35" s="152">
        <v>0.52371385456018493</v>
      </c>
      <c r="I35" s="152">
        <v>8.3604080359581029E-2</v>
      </c>
      <c r="J35" s="152">
        <v>0.25025301646095327</v>
      </c>
      <c r="K35" s="152">
        <v>0.13645080674072088</v>
      </c>
      <c r="L35" s="152">
        <v>3.2994252449600546E-2</v>
      </c>
      <c r="M35" s="152">
        <v>4.250107095202782E-2</v>
      </c>
      <c r="N35" s="152">
        <v>0.11687794511807652</v>
      </c>
      <c r="O35" s="152">
        <v>0.25500642571216686</v>
      </c>
      <c r="P35" s="152">
        <v>4.1662234025343053E-2</v>
      </c>
      <c r="Q35" s="152">
        <v>9.1153613999999994E-2</v>
      </c>
      <c r="R35" s="152">
        <v>3.6908823E-2</v>
      </c>
      <c r="S35" s="152">
        <v>0.24913456599999995</v>
      </c>
      <c r="T35" s="152">
        <v>8.0807957E-2</v>
      </c>
      <c r="U35" s="152">
        <v>2.8800068000000002E-2</v>
      </c>
      <c r="V35" s="152">
        <v>0.17196157000000001</v>
      </c>
      <c r="W35" s="152">
        <v>0.30673470499999989</v>
      </c>
      <c r="X35" s="152">
        <v>0.192093656</v>
      </c>
      <c r="Y35" s="152">
        <v>4.9770992E-2</v>
      </c>
      <c r="Z35" s="152">
        <v>0.17335963199999999</v>
      </c>
      <c r="AA35" s="152">
        <v>0.13365468499999997</v>
      </c>
      <c r="AB35" s="152">
        <v>0.11395750646531566</v>
      </c>
      <c r="AC35" s="153">
        <v>6.8723584000000018E-2</v>
      </c>
      <c r="AD35" s="154">
        <v>9.9222627039756359E-2</v>
      </c>
      <c r="AE35" s="153">
        <v>9.2546813707349573E-2</v>
      </c>
      <c r="AF35" s="156">
        <v>0.26049302474710595</v>
      </c>
      <c r="AH35" s="157">
        <v>4803</v>
      </c>
      <c r="AJ35" s="157">
        <v>30.126526254561419</v>
      </c>
      <c r="AK35" s="157">
        <v>23.507085866367323</v>
      </c>
      <c r="AL35" s="157">
        <v>34.534104854505287</v>
      </c>
      <c r="AM35" s="157">
        <v>30.239541090457415</v>
      </c>
      <c r="AN35" s="157">
        <v>4.8273479904147178</v>
      </c>
      <c r="AO35" s="157">
        <v>14.449754018131012</v>
      </c>
      <c r="AP35" s="157">
        <v>7.8787485596066285</v>
      </c>
      <c r="AQ35" s="157">
        <v>1.9051072336753738</v>
      </c>
      <c r="AR35" s="157">
        <v>2.4540364365987868</v>
      </c>
      <c r="AS35" s="157">
        <v>6.7486002006466634</v>
      </c>
      <c r="AT35" s="157">
        <v>14.724218619592715</v>
      </c>
      <c r="AU35" s="157">
        <v>2.4056015069290733</v>
      </c>
      <c r="AV35" s="157">
        <v>5.2632624325196744</v>
      </c>
      <c r="AW35" s="157">
        <v>2.1311368030281073</v>
      </c>
      <c r="AX35" s="157">
        <v>14.385174041150945</v>
      </c>
      <c r="AY35" s="157">
        <v>4.6658982092225694</v>
      </c>
      <c r="AZ35" s="157">
        <v>1.6629325959408703</v>
      </c>
      <c r="BA35" s="157">
        <v>9.9291605840016661</v>
      </c>
      <c r="BB35" s="157">
        <v>17.711039406254418</v>
      </c>
      <c r="BC35" s="157">
        <v>11.091598882191963</v>
      </c>
      <c r="BD35" s="157">
        <v>2.8738058857747242</v>
      </c>
      <c r="BE35" s="157">
        <v>10.00988549308682</v>
      </c>
      <c r="BF35" s="157">
        <v>7.7172988718884019</v>
      </c>
      <c r="BG35" s="157">
        <v>6.5799723824720102</v>
      </c>
      <c r="BH35" s="157">
        <v>3.9681395177081003</v>
      </c>
      <c r="BI35" s="157">
        <v>5.7291719158196024</v>
      </c>
      <c r="BJ35" s="157">
        <v>5.343706590012876</v>
      </c>
      <c r="BK35" s="44"/>
      <c r="BL35" s="161">
        <v>88.167716975434033</v>
      </c>
      <c r="BM35" s="161">
        <v>49.51664309900314</v>
      </c>
      <c r="BN35" s="161">
        <v>12.237892229880789</v>
      </c>
      <c r="BO35" s="161">
        <v>23.878420327168453</v>
      </c>
      <c r="BP35" s="161">
        <v>21.779573276698727</v>
      </c>
      <c r="BQ35" s="161">
        <v>16.257991389165106</v>
      </c>
      <c r="BR35" s="161">
        <v>31.676444174221107</v>
      </c>
      <c r="BS35" s="161">
        <v>24.307156747447234</v>
      </c>
      <c r="BT35" s="161">
        <v>15.041018023540577</v>
      </c>
      <c r="BU35" s="161">
        <v>109.32863677106029</v>
      </c>
    </row>
    <row r="36" spans="2:73" x14ac:dyDescent="0.25">
      <c r="B36" s="151">
        <v>41102</v>
      </c>
      <c r="C36" s="151">
        <v>4</v>
      </c>
      <c r="D36" s="151" t="s">
        <v>1188</v>
      </c>
      <c r="E36" s="152">
        <v>1.8426845887738345E-2</v>
      </c>
      <c r="F36" s="152">
        <v>1.349108359637986E-2</v>
      </c>
      <c r="G36" s="152">
        <v>7.4584852402750437E-3</v>
      </c>
      <c r="H36" s="152">
        <v>7.0197508143765124E-3</v>
      </c>
      <c r="I36" s="152">
        <v>1.8646213100687613E-2</v>
      </c>
      <c r="J36" s="152">
        <v>0.10606404746097013</v>
      </c>
      <c r="K36" s="152">
        <v>1.3710450809329127E-2</v>
      </c>
      <c r="L36" s="152">
        <v>2.0401150804281738E-2</v>
      </c>
      <c r="M36" s="152">
        <v>5.7912944218606217E-2</v>
      </c>
      <c r="N36" s="152">
        <v>0.11231601303002424</v>
      </c>
      <c r="O36" s="152">
        <v>0.14182090317170046</v>
      </c>
      <c r="P36" s="152">
        <v>2.6543432766861184E-2</v>
      </c>
      <c r="Q36" s="152">
        <v>2.0839884999999999E-2</v>
      </c>
      <c r="R36" s="152">
        <v>1.3491082E-2</v>
      </c>
      <c r="S36" s="152">
        <v>4.7163939999999996E-3</v>
      </c>
      <c r="T36" s="152">
        <v>1.6013806000000002E-2</v>
      </c>
      <c r="U36" s="152">
        <v>0.17286136499999996</v>
      </c>
      <c r="V36" s="152">
        <v>0.222548036</v>
      </c>
      <c r="W36" s="152">
        <v>6.6687631999999969E-2</v>
      </c>
      <c r="X36" s="152">
        <v>1.5136336E-2</v>
      </c>
      <c r="Y36" s="152">
        <v>6.14228E-3</v>
      </c>
      <c r="Z36" s="152">
        <v>0.198746694</v>
      </c>
      <c r="AA36" s="152">
        <v>0.229129053</v>
      </c>
      <c r="AB36" s="152">
        <v>0.15142851966544146</v>
      </c>
      <c r="AC36" s="153">
        <v>1.3891947E-2</v>
      </c>
      <c r="AD36" s="154">
        <v>4.7492494436327543E-3</v>
      </c>
      <c r="AE36" s="153">
        <v>8.889423432758492E-2</v>
      </c>
      <c r="AF36" s="156">
        <v>0.10753543077121767</v>
      </c>
      <c r="AH36" s="157">
        <v>1866</v>
      </c>
      <c r="AJ36" s="157">
        <v>2.7386282509939441</v>
      </c>
      <c r="AK36" s="157">
        <v>2.005067112334852</v>
      </c>
      <c r="AL36" s="157">
        <v>1.1084923873070727</v>
      </c>
      <c r="AM36" s="157">
        <v>1.0432869527595978</v>
      </c>
      <c r="AN36" s="157">
        <v>2.7712309682676817</v>
      </c>
      <c r="AO36" s="157">
        <v>15.76341380185205</v>
      </c>
      <c r="AP36" s="157">
        <v>2.0376698296085896</v>
      </c>
      <c r="AQ36" s="157">
        <v>3.0320527064575811</v>
      </c>
      <c r="AR36" s="157">
        <v>8.6071173602666793</v>
      </c>
      <c r="AS36" s="157">
        <v>16.692591244153569</v>
      </c>
      <c r="AT36" s="157">
        <v>21.077656717471246</v>
      </c>
      <c r="AU36" s="157">
        <v>3.9449287901222285</v>
      </c>
      <c r="AV36" s="157">
        <v>3.0972581067952838</v>
      </c>
      <c r="AW36" s="157">
        <v>2.0050668750782421</v>
      </c>
      <c r="AX36" s="157">
        <v>0.7009582611103965</v>
      </c>
      <c r="AY36" s="157">
        <v>2.3799982799399788</v>
      </c>
      <c r="AZ36" s="157">
        <v>25.690941389453371</v>
      </c>
      <c r="BA36" s="157">
        <v>33.075456445770634</v>
      </c>
      <c r="BB36" s="157">
        <v>9.9112259417449042</v>
      </c>
      <c r="BC36" s="157">
        <v>2.2495872401972132</v>
      </c>
      <c r="BD36" s="157">
        <v>0.91287579198285096</v>
      </c>
      <c r="BE36" s="157">
        <v>29.538061711485529</v>
      </c>
      <c r="BF36" s="157">
        <v>34.05353805486817</v>
      </c>
      <c r="BG36" s="157">
        <v>22.505556539001901</v>
      </c>
      <c r="BH36" s="157">
        <v>2.0646440930418004</v>
      </c>
      <c r="BI36" s="157">
        <v>0.70584129137394669</v>
      </c>
      <c r="BJ36" s="157">
        <v>13.21160783365513</v>
      </c>
      <c r="BK36" s="44"/>
      <c r="BL36" s="161">
        <v>5.8521877506358688</v>
      </c>
      <c r="BM36" s="161">
        <v>19.577931722879327</v>
      </c>
      <c r="BN36" s="161">
        <v>13.676839896332851</v>
      </c>
      <c r="BO36" s="161">
        <v>41.715176751747045</v>
      </c>
      <c r="BP36" s="161">
        <v>5.8032832429839223</v>
      </c>
      <c r="BQ36" s="161">
        <v>61.146396115163981</v>
      </c>
      <c r="BR36" s="161">
        <v>13.073688973924968</v>
      </c>
      <c r="BS36" s="161">
        <v>86.097156305355597</v>
      </c>
      <c r="BT36" s="161">
        <v>15.982093218070876</v>
      </c>
      <c r="BU36" s="161">
        <v>103.62367787710235</v>
      </c>
    </row>
    <row r="37" spans="2:73" x14ac:dyDescent="0.25">
      <c r="B37" s="159">
        <v>26102</v>
      </c>
      <c r="C37" s="159">
        <v>3</v>
      </c>
      <c r="D37" s="159" t="s">
        <v>1280</v>
      </c>
      <c r="E37" s="152">
        <v>0.10142058065660037</v>
      </c>
      <c r="F37" s="152">
        <v>0.11385572496657724</v>
      </c>
      <c r="G37" s="152">
        <v>0.16051603710217857</v>
      </c>
      <c r="H37" s="152">
        <v>0.17717228544398242</v>
      </c>
      <c r="I37" s="152">
        <v>3.5594174538649409E-2</v>
      </c>
      <c r="J37" s="152">
        <v>3.7647684608186857E-3</v>
      </c>
      <c r="K37" s="152">
        <v>2.1105520159135062E-2</v>
      </c>
      <c r="L37" s="152">
        <v>3.0916734935814066E-2</v>
      </c>
      <c r="M37" s="152">
        <v>9.0012191381392229E-2</v>
      </c>
      <c r="N37" s="152">
        <v>9.1837533665425561E-2</v>
      </c>
      <c r="O37" s="152">
        <v>2.5326624190962072E-2</v>
      </c>
      <c r="P37" s="152">
        <v>5.1223667845684544E-2</v>
      </c>
      <c r="Q37" s="152">
        <v>3.4111084999999999E-2</v>
      </c>
      <c r="R37" s="152">
        <v>0.11944583700000003</v>
      </c>
      <c r="S37" s="152">
        <v>2.9661814000000002E-2</v>
      </c>
      <c r="T37" s="152">
        <v>0.10050791000000001</v>
      </c>
      <c r="U37" s="152">
        <v>1.8025256E-2</v>
      </c>
      <c r="V37" s="152">
        <v>5.8410954000000008E-2</v>
      </c>
      <c r="W37" s="152">
        <v>1.4944990000000002E-2</v>
      </c>
      <c r="X37" s="152">
        <v>1.2092894000000003E-2</v>
      </c>
      <c r="Y37" s="152">
        <v>4.3351900000000001E-3</v>
      </c>
      <c r="Z37" s="152">
        <v>0.34282209700000005</v>
      </c>
      <c r="AA37" s="152">
        <v>0.22223542499999996</v>
      </c>
      <c r="AB37" s="152">
        <v>0.11638406586911997</v>
      </c>
      <c r="AC37" s="153">
        <v>6.4851264000000006E-2</v>
      </c>
      <c r="AD37" s="154">
        <v>0.12102217454827913</v>
      </c>
      <c r="AE37" s="153">
        <v>1.5914193373300769E-2</v>
      </c>
      <c r="AF37" s="156">
        <v>0.20178763192157992</v>
      </c>
      <c r="AH37" s="157">
        <v>2005</v>
      </c>
      <c r="AJ37" s="157">
        <v>14.028312614630257</v>
      </c>
      <c r="AK37" s="157">
        <v>15.748319448145104</v>
      </c>
      <c r="AL37" s="157">
        <v>22.202290043627421</v>
      </c>
      <c r="AM37" s="157">
        <v>24.506152407784917</v>
      </c>
      <c r="AN37" s="157">
        <v>4.9233223124461665</v>
      </c>
      <c r="AO37" s="157">
        <v>0.52073601381642121</v>
      </c>
      <c r="AP37" s="157">
        <v>2.9192776532132712</v>
      </c>
      <c r="AQ37" s="157">
        <v>4.2763472649772787</v>
      </c>
      <c r="AR37" s="157">
        <v>12.450324693974435</v>
      </c>
      <c r="AS37" s="157">
        <v>12.70280276127937</v>
      </c>
      <c r="AT37" s="157">
        <v>3.5031331838559252</v>
      </c>
      <c r="AU37" s="157">
        <v>7.0851657637446399</v>
      </c>
      <c r="AV37" s="157">
        <v>4.718184030364089</v>
      </c>
      <c r="AW37" s="157">
        <v>16.521533707499255</v>
      </c>
      <c r="AX37" s="157">
        <v>4.1027688543601002</v>
      </c>
      <c r="AY37" s="157">
        <v>13.902073648119702</v>
      </c>
      <c r="AZ37" s="157">
        <v>2.4932210453705737</v>
      </c>
      <c r="BA37" s="157">
        <v>8.0792982797566104</v>
      </c>
      <c r="BB37" s="157">
        <v>2.0671641829027436</v>
      </c>
      <c r="BC37" s="157">
        <v>1.6726673851531177</v>
      </c>
      <c r="BD37" s="157">
        <v>0.59963569691770569</v>
      </c>
      <c r="BE37" s="157">
        <v>47.418536916117709</v>
      </c>
      <c r="BF37" s="157">
        <v>30.739204959800496</v>
      </c>
      <c r="BG37" s="157">
        <v>16.098035022120349</v>
      </c>
      <c r="BH37" s="157">
        <v>8.9701103953077315</v>
      </c>
      <c r="BI37" s="157">
        <v>16.739569886845462</v>
      </c>
      <c r="BJ37" s="157">
        <v>2.2012226532821724</v>
      </c>
      <c r="BK37" s="44"/>
      <c r="BL37" s="161">
        <v>51.978922106402784</v>
      </c>
      <c r="BM37" s="161">
        <v>29.950210734047506</v>
      </c>
      <c r="BN37" s="161">
        <v>19.645949612164983</v>
      </c>
      <c r="BO37" s="161">
        <v>23.291101708879935</v>
      </c>
      <c r="BP37" s="161">
        <v>25.342486592223445</v>
      </c>
      <c r="BQ37" s="161">
        <v>24.474592973246885</v>
      </c>
      <c r="BR37" s="161">
        <v>4.3394672649735675</v>
      </c>
      <c r="BS37" s="161">
        <v>94.255776898038562</v>
      </c>
      <c r="BT37" s="161">
        <v>27.910902935435367</v>
      </c>
      <c r="BU37" s="161">
        <v>128.30737321057305</v>
      </c>
    </row>
    <row r="38" spans="2:73" x14ac:dyDescent="0.25">
      <c r="B38" s="159">
        <v>26101</v>
      </c>
      <c r="C38" s="159">
        <v>3</v>
      </c>
      <c r="D38" s="159" t="s">
        <v>1283</v>
      </c>
      <c r="E38" s="152">
        <v>0.25282556618095275</v>
      </c>
      <c r="F38" s="152">
        <v>0.11245902233404127</v>
      </c>
      <c r="G38" s="152">
        <v>4.9459864859443203E-2</v>
      </c>
      <c r="H38" s="152">
        <v>0.16689250488884749</v>
      </c>
      <c r="I38" s="152">
        <v>9.1182991081655076E-3</v>
      </c>
      <c r="J38" s="152">
        <v>0</v>
      </c>
      <c r="K38" s="152">
        <v>2.1552343346573022E-2</v>
      </c>
      <c r="L38" s="152">
        <v>4.669674391757489E-2</v>
      </c>
      <c r="M38" s="152">
        <v>0.20723407064012525</v>
      </c>
      <c r="N38" s="152">
        <v>0.12323519400732778</v>
      </c>
      <c r="O38" s="152">
        <v>3.3433763396606871E-2</v>
      </c>
      <c r="P38" s="152">
        <v>2.707858523030969E-2</v>
      </c>
      <c r="Q38" s="152">
        <v>2.7631209000000004E-2</v>
      </c>
      <c r="R38" s="152">
        <v>7.9025258000000001E-2</v>
      </c>
      <c r="S38" s="152">
        <v>2.8736457999999999E-2</v>
      </c>
      <c r="T38" s="152">
        <v>0.21690499400000002</v>
      </c>
      <c r="U38" s="152">
        <v>1.9618159E-2</v>
      </c>
      <c r="V38" s="152">
        <v>1.2434044E-2</v>
      </c>
      <c r="W38" s="152">
        <v>6.85254E-2</v>
      </c>
      <c r="X38" s="152">
        <v>9.1182989999999998E-3</v>
      </c>
      <c r="Y38" s="152">
        <v>6.0788659999999996E-3</v>
      </c>
      <c r="Z38" s="152">
        <v>0.40728402499999999</v>
      </c>
      <c r="AA38" s="152">
        <v>7.1288520999999994E-2</v>
      </c>
      <c r="AB38" s="152">
        <v>3.6950973778103594E-2</v>
      </c>
      <c r="AC38" s="153"/>
      <c r="AD38" s="154">
        <v>6.88872038615894E-3</v>
      </c>
      <c r="AE38" s="153">
        <v>2.8809858633705868E-3</v>
      </c>
      <c r="AF38" s="156">
        <v>9.7697062495295268E-3</v>
      </c>
      <c r="AH38" s="157">
        <v>4804</v>
      </c>
      <c r="AJ38" s="157">
        <v>14.595255748924078</v>
      </c>
      <c r="AK38" s="157">
        <v>6.4920973659148622</v>
      </c>
      <c r="AL38" s="157">
        <v>2.8552467530682066</v>
      </c>
      <c r="AM38" s="157">
        <v>9.6344639042078057</v>
      </c>
      <c r="AN38" s="157">
        <v>0.52638627291201578</v>
      </c>
      <c r="AO38" s="157">
        <v>0</v>
      </c>
      <c r="AP38" s="157">
        <v>1.2441857359738557</v>
      </c>
      <c r="AQ38" s="157">
        <v>2.6957357612766879</v>
      </c>
      <c r="AR38" s="157">
        <v>11.963324384364</v>
      </c>
      <c r="AS38" s="157">
        <v>7.1141902339017893</v>
      </c>
      <c r="AT38" s="157">
        <v>1.9300830006773919</v>
      </c>
      <c r="AU38" s="157">
        <v>1.5632077195568954</v>
      </c>
      <c r="AV38" s="157">
        <v>1.5951098937452126</v>
      </c>
      <c r="AW38" s="157">
        <v>4.5620143111207332</v>
      </c>
      <c r="AX38" s="157">
        <v>1.6589143264412989</v>
      </c>
      <c r="AY38" s="157">
        <v>12.521612859290592</v>
      </c>
      <c r="AZ38" s="157">
        <v>1.1325280597735221</v>
      </c>
      <c r="BA38" s="157">
        <v>0.71779944929891759</v>
      </c>
      <c r="BB38" s="157">
        <v>3.9558726334721066</v>
      </c>
      <c r="BC38" s="157">
        <v>0.52638626666777677</v>
      </c>
      <c r="BD38" s="157">
        <v>0.35092417777851787</v>
      </c>
      <c r="BE38" s="157">
        <v>23.511920084346379</v>
      </c>
      <c r="BF38" s="157">
        <v>4.115383628619484</v>
      </c>
      <c r="BG38" s="157">
        <v>2.1331264895782502</v>
      </c>
      <c r="BH38" s="157">
        <v>0</v>
      </c>
      <c r="BI38" s="157">
        <v>0.39767590492354005</v>
      </c>
      <c r="BJ38" s="157">
        <v>0.1663151639294001</v>
      </c>
      <c r="BK38" s="44"/>
      <c r="BL38" s="161">
        <v>23.942599867907148</v>
      </c>
      <c r="BM38" s="161">
        <v>10.160850177119821</v>
      </c>
      <c r="BN38" s="161">
        <v>15.903245881614545</v>
      </c>
      <c r="BO38" s="161">
        <v>10.607480954136078</v>
      </c>
      <c r="BP38" s="161">
        <v>7.8160385313072451</v>
      </c>
      <c r="BQ38" s="161">
        <v>14.371940368363031</v>
      </c>
      <c r="BR38" s="161">
        <v>4.8331830779184015</v>
      </c>
      <c r="BS38" s="161">
        <v>29.760430202544111</v>
      </c>
      <c r="BT38" s="161">
        <v>0.56399106885294015</v>
      </c>
      <c r="BU38" s="161">
        <v>39.883911112107377</v>
      </c>
    </row>
    <row r="39" spans="2:73" x14ac:dyDescent="0.25">
      <c r="B39" s="160">
        <v>19102</v>
      </c>
      <c r="C39" s="160">
        <v>3</v>
      </c>
      <c r="D39" s="160" t="s">
        <v>1279</v>
      </c>
      <c r="E39" s="152">
        <v>4.7622227657869963E-2</v>
      </c>
      <c r="F39" s="152">
        <v>0.12484233386007351</v>
      </c>
      <c r="G39" s="152">
        <v>0.18764296077144782</v>
      </c>
      <c r="H39" s="152">
        <v>1.4988669262835572E-2</v>
      </c>
      <c r="I39" s="152">
        <v>4.7242767676532363E-2</v>
      </c>
      <c r="J39" s="152">
        <v>0.12920612364545597</v>
      </c>
      <c r="K39" s="152">
        <v>2.883895858165831E-2</v>
      </c>
      <c r="L39" s="152">
        <v>5.3883317349940528E-2</v>
      </c>
      <c r="M39" s="152">
        <v>0.14229749300160349</v>
      </c>
      <c r="N39" s="152">
        <v>0.19826784024890096</v>
      </c>
      <c r="O39" s="152">
        <v>9.1639585493032666E-2</v>
      </c>
      <c r="P39" s="152">
        <v>4.230978791914343E-2</v>
      </c>
      <c r="Q39" s="152">
        <v>1.1573530000000002E-2</v>
      </c>
      <c r="R39" s="152">
        <v>2.9218419000000002E-2</v>
      </c>
      <c r="S39" s="152">
        <v>5.3124397999999989E-2</v>
      </c>
      <c r="T39" s="152">
        <v>0.14514344399999998</v>
      </c>
      <c r="U39" s="152">
        <v>1.3850290000000001E-2</v>
      </c>
      <c r="V39" s="152">
        <v>3.2254099000000001E-2</v>
      </c>
      <c r="W39" s="152">
        <v>3.7945999000000001E-2</v>
      </c>
      <c r="X39" s="152">
        <v>6.1662246999999996E-2</v>
      </c>
      <c r="Y39" s="152">
        <v>2.049084E-2</v>
      </c>
      <c r="Z39" s="152">
        <v>1.2142720000000001E-2</v>
      </c>
      <c r="AA39" s="152">
        <v>2.2577869999999996E-2</v>
      </c>
      <c r="AB39" s="152">
        <v>2.8997057557527042E-2</v>
      </c>
      <c r="AC39" s="153">
        <v>3.9339584000000004E-2</v>
      </c>
      <c r="AD39" s="154">
        <v>1.0479554659614207E-2</v>
      </c>
      <c r="AE39" s="153">
        <v>2.0115954900944907E-2</v>
      </c>
      <c r="AF39" s="156">
        <v>6.9935093560559117E-2</v>
      </c>
      <c r="AH39" s="157">
        <v>3171</v>
      </c>
      <c r="AJ39" s="157">
        <v>4.164924992715787</v>
      </c>
      <c r="AK39" s="157">
        <v>10.918408945047766</v>
      </c>
      <c r="AL39" s="157">
        <v>16.410800070900056</v>
      </c>
      <c r="AM39" s="157">
        <v>1.3108728064723001</v>
      </c>
      <c r="AN39" s="157">
        <v>4.1317383393873754</v>
      </c>
      <c r="AO39" s="157">
        <v>11.300055458324509</v>
      </c>
      <c r="AP39" s="157">
        <v>2.5221856529593616</v>
      </c>
      <c r="AQ39" s="157">
        <v>4.7125047726345963</v>
      </c>
      <c r="AR39" s="157">
        <v>12.444994998154744</v>
      </c>
      <c r="AS39" s="157">
        <v>17.340026364095618</v>
      </c>
      <c r="AT39" s="157">
        <v>8.0145767788116569</v>
      </c>
      <c r="AU39" s="157">
        <v>3.7003118461180096</v>
      </c>
      <c r="AV39" s="157">
        <v>1.0121929762976982</v>
      </c>
      <c r="AW39" s="157">
        <v>2.5553723445070959</v>
      </c>
      <c r="AX39" s="157">
        <v>4.6461315195660671</v>
      </c>
      <c r="AY39" s="157">
        <v>12.693894997676441</v>
      </c>
      <c r="AZ39" s="157">
        <v>1.2113129060611796</v>
      </c>
      <c r="BA39" s="157">
        <v>2.8208655841917376</v>
      </c>
      <c r="BB39" s="157">
        <v>3.3186654086004417</v>
      </c>
      <c r="BC39" s="157">
        <v>5.3928311687215382</v>
      </c>
      <c r="BD39" s="157">
        <v>1.792079367871334</v>
      </c>
      <c r="BE39" s="157">
        <v>1.0619729587385685</v>
      </c>
      <c r="BF39" s="157">
        <v>1.9746059701545251</v>
      </c>
      <c r="BG39" s="157">
        <v>2.5360126074783533</v>
      </c>
      <c r="BH39" s="157">
        <v>3.4405449862983288</v>
      </c>
      <c r="BI39" s="157">
        <v>0.91651653568006586</v>
      </c>
      <c r="BJ39" s="157">
        <v>1.7592928226960736</v>
      </c>
      <c r="BK39" s="44"/>
      <c r="BL39" s="161">
        <v>31.494134008663607</v>
      </c>
      <c r="BM39" s="161">
        <v>16.742666604184187</v>
      </c>
      <c r="BN39" s="161">
        <v>19.679685423748701</v>
      </c>
      <c r="BO39" s="161">
        <v>29.054914989025281</v>
      </c>
      <c r="BP39" s="161">
        <v>8.2136968403708615</v>
      </c>
      <c r="BQ39" s="161">
        <v>16.726073487929359</v>
      </c>
      <c r="BR39" s="161">
        <v>10.503575945193315</v>
      </c>
      <c r="BS39" s="161">
        <v>5.5725915363714469</v>
      </c>
      <c r="BT39" s="161">
        <v>6.1163543446744679</v>
      </c>
      <c r="BU39" s="161">
        <v>54.150918738061542</v>
      </c>
    </row>
    <row r="40" spans="2:73" x14ac:dyDescent="0.25">
      <c r="B40" s="151">
        <v>41103</v>
      </c>
      <c r="C40" s="151">
        <v>4</v>
      </c>
      <c r="D40" s="151" t="s">
        <v>1282</v>
      </c>
      <c r="E40" s="152">
        <v>1.7905023703306815E-2</v>
      </c>
      <c r="F40" s="152">
        <v>1.3109035211349632E-2</v>
      </c>
      <c r="G40" s="152">
        <v>7.2472714989575198E-3</v>
      </c>
      <c r="H40" s="152">
        <v>6.8209614107835482E-3</v>
      </c>
      <c r="I40" s="152">
        <v>1.8118178747393798E-2</v>
      </c>
      <c r="J40" s="152">
        <v>0.10306046381605768</v>
      </c>
      <c r="K40" s="152">
        <v>4.9558547750224217E-2</v>
      </c>
      <c r="L40" s="152">
        <v>3.037459378239549E-2</v>
      </c>
      <c r="M40" s="152">
        <v>4.6148067044832451E-2</v>
      </c>
      <c r="N40" s="152">
        <v>0.24694011857477316</v>
      </c>
      <c r="O40" s="152">
        <v>0.13780473600223636</v>
      </c>
      <c r="P40" s="152">
        <v>2.5791760334525293E-2</v>
      </c>
      <c r="Q40" s="152">
        <v>2.0249728000000002E-2</v>
      </c>
      <c r="R40" s="152">
        <v>5.6486100000000001E-3</v>
      </c>
      <c r="S40" s="152">
        <v>4.582834E-3</v>
      </c>
      <c r="T40" s="152">
        <v>1.5560319E-2</v>
      </c>
      <c r="U40" s="152">
        <v>0.16594120200000001</v>
      </c>
      <c r="V40" s="152">
        <v>8.952512000000001E-3</v>
      </c>
      <c r="W40" s="152">
        <v>3.101406E-2</v>
      </c>
      <c r="X40" s="152">
        <v>2.0782616999999996E-2</v>
      </c>
      <c r="Y40" s="152">
        <v>5.9683429999999992E-3</v>
      </c>
      <c r="Z40" s="152">
        <v>6.2774162000000008E-2</v>
      </c>
      <c r="AA40" s="152">
        <v>0.16562147099999999</v>
      </c>
      <c r="AB40" s="152">
        <v>7.452030844585808E-2</v>
      </c>
      <c r="AC40" s="153">
        <v>2.1752676000000006E-2</v>
      </c>
      <c r="AD40" s="154">
        <v>5.1106877993748962E-3</v>
      </c>
      <c r="AE40" s="153">
        <v>4.4470246465842647E-2</v>
      </c>
      <c r="AF40" s="156">
        <v>7.1333610265217548E-2</v>
      </c>
      <c r="AH40" s="157">
        <v>1985</v>
      </c>
      <c r="AJ40" s="157">
        <v>2.5015437851842179</v>
      </c>
      <c r="AK40" s="157">
        <v>1.8314874141527309</v>
      </c>
      <c r="AL40" s="157">
        <v>1.012529627336469</v>
      </c>
      <c r="AM40" s="157">
        <v>0.95296906102255907</v>
      </c>
      <c r="AN40" s="157">
        <v>2.5313240683411724</v>
      </c>
      <c r="AO40" s="157">
        <v>14.398766906387731</v>
      </c>
      <c r="AP40" s="157">
        <v>6.923915833992031</v>
      </c>
      <c r="AQ40" s="157">
        <v>4.2436903498660845</v>
      </c>
      <c r="AR40" s="157">
        <v>6.4474313034807524</v>
      </c>
      <c r="AS40" s="157">
        <v>34.500458037332344</v>
      </c>
      <c r="AT40" s="157">
        <v>19.252953060971386</v>
      </c>
      <c r="AU40" s="157">
        <v>3.6034142619915519</v>
      </c>
      <c r="AV40" s="157">
        <v>2.8291267338962216</v>
      </c>
      <c r="AW40" s="157">
        <v>0.78917768971284641</v>
      </c>
      <c r="AX40" s="157">
        <v>0.64027616501360207</v>
      </c>
      <c r="AY40" s="157">
        <v>2.1739607796634761</v>
      </c>
      <c r="AZ40" s="157">
        <v>23.183950462597483</v>
      </c>
      <c r="BA40" s="157">
        <v>1.2507719133178843</v>
      </c>
      <c r="BB40" s="157">
        <v>4.3330313509722922</v>
      </c>
      <c r="BC40" s="157">
        <v>2.9035776359576824</v>
      </c>
      <c r="BD40" s="157">
        <v>0.83384817506498732</v>
      </c>
      <c r="BE40" s="157">
        <v>8.7702936015798496</v>
      </c>
      <c r="BF40" s="157">
        <v>23.139280256669018</v>
      </c>
      <c r="BG40" s="157">
        <v>10.411369320238251</v>
      </c>
      <c r="BH40" s="157">
        <v>3.0391063625833761</v>
      </c>
      <c r="BI40" s="157">
        <v>0.71402358993704851</v>
      </c>
      <c r="BJ40" s="157">
        <v>6.2130199052288209</v>
      </c>
      <c r="BK40" s="44"/>
      <c r="BL40" s="161">
        <v>5.3455608266734176</v>
      </c>
      <c r="BM40" s="161">
        <v>17.883060035751463</v>
      </c>
      <c r="BN40" s="161">
        <v>17.615037487338867</v>
      </c>
      <c r="BO40" s="161">
        <v>57.356825360295282</v>
      </c>
      <c r="BP40" s="161">
        <v>4.25858058862267</v>
      </c>
      <c r="BQ40" s="161">
        <v>26.608683155578845</v>
      </c>
      <c r="BR40" s="161">
        <v>8.0704571619949625</v>
      </c>
      <c r="BS40" s="161">
        <v>42.32094317848712</v>
      </c>
      <c r="BT40" s="161">
        <v>9.9661498577492456</v>
      </c>
      <c r="BU40" s="161">
        <v>73.107915741913203</v>
      </c>
    </row>
    <row r="41" spans="2:73" x14ac:dyDescent="0.25">
      <c r="B41" s="151">
        <v>20101</v>
      </c>
      <c r="C41" s="151">
        <v>4</v>
      </c>
      <c r="D41" s="151" t="s">
        <v>1185</v>
      </c>
      <c r="E41" s="152">
        <v>7.9912175462709498E-2</v>
      </c>
      <c r="F41" s="152">
        <v>0.13993279209812118</v>
      </c>
      <c r="G41" s="152">
        <v>0.13457071971858875</v>
      </c>
      <c r="H41" s="152">
        <v>0.12817082687850159</v>
      </c>
      <c r="I41" s="152">
        <v>2.9750853202567176E-2</v>
      </c>
      <c r="J41" s="152">
        <v>3.2864314584231183E-3</v>
      </c>
      <c r="K41" s="152">
        <v>7.8874355002154839E-2</v>
      </c>
      <c r="L41" s="152">
        <v>1.1588995142860471E-2</v>
      </c>
      <c r="M41" s="152">
        <v>3.0442733509603619E-2</v>
      </c>
      <c r="N41" s="152">
        <v>7.0225851164199257E-2</v>
      </c>
      <c r="O41" s="152">
        <v>9.3057901296401971E-2</v>
      </c>
      <c r="P41" s="152">
        <v>2.8886002818771614E-2</v>
      </c>
      <c r="Q41" s="152">
        <v>3.5631836E-2</v>
      </c>
      <c r="R41" s="152">
        <v>2.1794227999999995E-2</v>
      </c>
      <c r="S41" s="152">
        <v>7.0744762000000003E-2</v>
      </c>
      <c r="T41" s="152">
        <v>1.5567307000000001E-2</v>
      </c>
      <c r="U41" s="152">
        <v>0.10914411699999998</v>
      </c>
      <c r="V41" s="152">
        <v>1.4010575000000001E-2</v>
      </c>
      <c r="W41" s="152">
        <v>0.16017028800000005</v>
      </c>
      <c r="X41" s="152">
        <v>4.2896579000000011E-2</v>
      </c>
      <c r="Y41" s="152">
        <v>1.4356516E-2</v>
      </c>
      <c r="Z41" s="152">
        <v>5.5350425000000009E-2</v>
      </c>
      <c r="AA41" s="152">
        <v>5.4485570999999997E-2</v>
      </c>
      <c r="AB41" s="152">
        <v>2.0707874799041317E-2</v>
      </c>
      <c r="AC41" s="153">
        <v>2.4753726E-2</v>
      </c>
      <c r="AD41" s="154">
        <v>2.0608089363984391E-2</v>
      </c>
      <c r="AE41" s="153">
        <v>0.10200083882268768</v>
      </c>
      <c r="AF41" s="156">
        <v>0.14736265418667208</v>
      </c>
      <c r="AH41" s="157">
        <v>3102</v>
      </c>
      <c r="AJ41" s="157">
        <v>7.1443854921735337</v>
      </c>
      <c r="AK41" s="157">
        <v>12.510406630234607</v>
      </c>
      <c r="AL41" s="157">
        <v>12.031021456517339</v>
      </c>
      <c r="AM41" s="157">
        <v>11.458852055628977</v>
      </c>
      <c r="AN41" s="157">
        <v>2.6598145122377663</v>
      </c>
      <c r="AO41" s="157">
        <v>0.29381671937510201</v>
      </c>
      <c r="AP41" s="157">
        <v>7.0516012650024491</v>
      </c>
      <c r="AQ41" s="157">
        <v>1.0360905367437809</v>
      </c>
      <c r="AR41" s="157">
        <v>2.7216706636851558</v>
      </c>
      <c r="AS41" s="157">
        <v>6.2783993719100755</v>
      </c>
      <c r="AT41" s="157">
        <v>8.3196523696739408</v>
      </c>
      <c r="AU41" s="157">
        <v>2.582494322928528</v>
      </c>
      <c r="AV41" s="157">
        <v>3.1855918163146359</v>
      </c>
      <c r="AW41" s="157">
        <v>1.9484686211424884</v>
      </c>
      <c r="AX41" s="157">
        <v>6.3247915396312067</v>
      </c>
      <c r="AY41" s="157">
        <v>1.3917634157627339</v>
      </c>
      <c r="AZ41" s="157">
        <v>9.7578077625325577</v>
      </c>
      <c r="BA41" s="157">
        <v>1.252586957962605</v>
      </c>
      <c r="BB41" s="157">
        <v>14.319698784804647</v>
      </c>
      <c r="BC41" s="157">
        <v>3.835081386496455</v>
      </c>
      <c r="BD41" s="157">
        <v>1.2835151093642811</v>
      </c>
      <c r="BE41" s="157">
        <v>4.9484921548678278</v>
      </c>
      <c r="BF41" s="157">
        <v>4.8711716422591866</v>
      </c>
      <c r="BG41" s="157">
        <v>1.8513454230395006</v>
      </c>
      <c r="BH41" s="157">
        <v>2.2130565197059959</v>
      </c>
      <c r="BI41" s="157">
        <v>1.8424243091989243</v>
      </c>
      <c r="BJ41" s="157">
        <v>9.1191775077428527</v>
      </c>
      <c r="BK41" s="44"/>
      <c r="BL41" s="161">
        <v>31.685813578925476</v>
      </c>
      <c r="BM41" s="161">
        <v>14.412483287241844</v>
      </c>
      <c r="BN41" s="161">
        <v>10.809362465431386</v>
      </c>
      <c r="BO41" s="161">
        <v>17.180546064512544</v>
      </c>
      <c r="BP41" s="161">
        <v>11.458851977088331</v>
      </c>
      <c r="BQ41" s="161">
        <v>12.402158136257896</v>
      </c>
      <c r="BR41" s="161">
        <v>19.438295280665383</v>
      </c>
      <c r="BS41" s="161">
        <v>11.671009220166514</v>
      </c>
      <c r="BT41" s="161">
        <v>13.174658336647774</v>
      </c>
      <c r="BU41" s="161">
        <v>60.585717785626827</v>
      </c>
    </row>
    <row r="42" spans="2:73" x14ac:dyDescent="0.25">
      <c r="B42" s="159">
        <v>23103</v>
      </c>
      <c r="C42" s="159">
        <v>3</v>
      </c>
      <c r="D42" s="159" t="s">
        <v>1192</v>
      </c>
      <c r="E42" s="152">
        <v>3.303709053071336E-2</v>
      </c>
      <c r="F42" s="152">
        <v>2.8744870107431698E-2</v>
      </c>
      <c r="G42" s="152">
        <v>5.6189067359323525E-2</v>
      </c>
      <c r="H42" s="152">
        <v>1.3526997697614913E-2</v>
      </c>
      <c r="I42" s="152">
        <v>8.3503197325661319E-2</v>
      </c>
      <c r="J42" s="152">
        <v>1.3006728555398956E-3</v>
      </c>
      <c r="K42" s="152">
        <v>2.3802313256380103E-2</v>
      </c>
      <c r="L42" s="152">
        <v>2.8484735536323715E-2</v>
      </c>
      <c r="M42" s="152">
        <v>7.9210976902379646E-2</v>
      </c>
      <c r="N42" s="152">
        <v>0.12070244099410234</v>
      </c>
      <c r="O42" s="152">
        <v>8.7145081321173018E-2</v>
      </c>
      <c r="P42" s="152">
        <v>1.209625755652103E-2</v>
      </c>
      <c r="Q42" s="152">
        <v>9.1047090000000008E-3</v>
      </c>
      <c r="R42" s="152">
        <v>0.16453511500000007</v>
      </c>
      <c r="S42" s="152">
        <v>2.0940831E-2</v>
      </c>
      <c r="T42" s="152">
        <v>2.2371573000000009E-2</v>
      </c>
      <c r="U42" s="152">
        <v>4.8645166000000004E-2</v>
      </c>
      <c r="V42" s="152">
        <v>6.3732990000000007E-3</v>
      </c>
      <c r="W42" s="152">
        <v>1.1706054999999998E-2</v>
      </c>
      <c r="X42" s="152">
        <v>1.7949285999999998E-2</v>
      </c>
      <c r="Y42" s="152">
        <v>3.1216140000000009E-3</v>
      </c>
      <c r="Z42" s="152">
        <v>0.12460446199999999</v>
      </c>
      <c r="AA42" s="152">
        <v>8.0641710000000002E-3</v>
      </c>
      <c r="AB42" s="152">
        <v>9.4092084347648861E-2</v>
      </c>
      <c r="AC42" s="153">
        <v>4.2216159000000003E-2</v>
      </c>
      <c r="AD42" s="154">
        <v>2.8403518830180066E-2</v>
      </c>
      <c r="AE42" s="153">
        <v>3.8492092862605783E-3</v>
      </c>
      <c r="AF42" s="156">
        <v>7.4468887116440646E-2</v>
      </c>
      <c r="AH42" s="157">
        <v>2176</v>
      </c>
      <c r="AJ42" s="157">
        <v>4.2105286041827545</v>
      </c>
      <c r="AK42" s="157">
        <v>3.6634914233243649</v>
      </c>
      <c r="AL42" s="157">
        <v>7.1612140039643721</v>
      </c>
      <c r="AM42" s="157">
        <v>1.7239959639173477</v>
      </c>
      <c r="AN42" s="157">
        <v>10.642359700335939</v>
      </c>
      <c r="AO42" s="157">
        <v>0.16576884268436037</v>
      </c>
      <c r="AP42" s="157">
        <v>3.0335698211237965</v>
      </c>
      <c r="AQ42" s="157">
        <v>3.6303376547874926</v>
      </c>
      <c r="AR42" s="157">
        <v>10.095322519477547</v>
      </c>
      <c r="AS42" s="157">
        <v>15.383348601108644</v>
      </c>
      <c r="AT42" s="157">
        <v>11.106512459852146</v>
      </c>
      <c r="AU42" s="157">
        <v>1.5416502369645517</v>
      </c>
      <c r="AV42" s="157">
        <v>1.1603817727720589</v>
      </c>
      <c r="AW42" s="157">
        <v>20.969758443345597</v>
      </c>
      <c r="AX42" s="157">
        <v>2.6688781156102941</v>
      </c>
      <c r="AY42" s="157">
        <v>2.8512240794779422</v>
      </c>
      <c r="AZ42" s="157">
        <v>6.1997548696911773</v>
      </c>
      <c r="BA42" s="157">
        <v>0.81226758505147068</v>
      </c>
      <c r="BB42" s="157">
        <v>1.4919194949632351</v>
      </c>
      <c r="BC42" s="157">
        <v>2.2876101046911761</v>
      </c>
      <c r="BD42" s="157">
        <v>0.39784511369117659</v>
      </c>
      <c r="BE42" s="157">
        <v>15.880655440044116</v>
      </c>
      <c r="BF42" s="157">
        <v>1.0277667348749999</v>
      </c>
      <c r="BG42" s="157">
        <v>11.991897779395572</v>
      </c>
      <c r="BH42" s="157">
        <v>5.380387381963236</v>
      </c>
      <c r="BI42" s="157">
        <v>3.6199867050258168</v>
      </c>
      <c r="BJ42" s="157">
        <v>0.49057606293201916</v>
      </c>
      <c r="BK42" s="44"/>
      <c r="BL42" s="161">
        <v>15.035234031471493</v>
      </c>
      <c r="BM42" s="161">
        <v>12.532124506937647</v>
      </c>
      <c r="BN42" s="161">
        <v>16.759229995388836</v>
      </c>
      <c r="BO42" s="161">
        <v>28.031511297925341</v>
      </c>
      <c r="BP42" s="161">
        <v>24.79901833172795</v>
      </c>
      <c r="BQ42" s="161">
        <v>9.8632465342205897</v>
      </c>
      <c r="BR42" s="161">
        <v>4.1773747133455874</v>
      </c>
      <c r="BS42" s="161">
        <v>28.900319954314689</v>
      </c>
      <c r="BT42" s="161">
        <v>9.4909501499210727</v>
      </c>
      <c r="BU42" s="161">
        <v>59.353953321672144</v>
      </c>
    </row>
    <row r="43" spans="2:73" x14ac:dyDescent="0.25">
      <c r="B43" s="159">
        <v>23101</v>
      </c>
      <c r="C43" s="159">
        <v>3</v>
      </c>
      <c r="D43" s="159" t="s">
        <v>1284</v>
      </c>
      <c r="E43" s="152">
        <v>3.9258965906840769E-2</v>
      </c>
      <c r="F43" s="152">
        <v>2.6795802126891314E-2</v>
      </c>
      <c r="G43" s="152">
        <v>0.17095306318163989</v>
      </c>
      <c r="H43" s="152">
        <v>2.1810536614911533E-2</v>
      </c>
      <c r="I43" s="152">
        <v>0.11112987703788257</v>
      </c>
      <c r="J43" s="152">
        <v>2.0771939633249079E-4</v>
      </c>
      <c r="K43" s="152">
        <v>1.0801408609289524E-2</v>
      </c>
      <c r="L43" s="152">
        <v>1.537123532860432E-2</v>
      </c>
      <c r="M43" s="152">
        <v>1.4540357743274356E-2</v>
      </c>
      <c r="N43" s="152">
        <v>5.0891252101460241E-2</v>
      </c>
      <c r="O43" s="152">
        <v>0.13522532701245155</v>
      </c>
      <c r="P43" s="152">
        <v>1.2463163779949448E-2</v>
      </c>
      <c r="Q43" s="152">
        <v>1.0593690000000001E-2</v>
      </c>
      <c r="R43" s="152">
        <v>0.28644504700000006</v>
      </c>
      <c r="S43" s="152">
        <v>3.3442820999999998E-2</v>
      </c>
      <c r="T43" s="152">
        <v>0.10427513699999999</v>
      </c>
      <c r="U43" s="152">
        <v>4.7775460000000006E-3</v>
      </c>
      <c r="V43" s="152">
        <v>6.2315809999999999E-3</v>
      </c>
      <c r="W43" s="152">
        <v>1.2255445E-2</v>
      </c>
      <c r="X43" s="152">
        <v>7.8933370000000003E-3</v>
      </c>
      <c r="Y43" s="152">
        <v>7.6856169999999996E-3</v>
      </c>
      <c r="Z43" s="152">
        <v>6.4393012999999999E-2</v>
      </c>
      <c r="AA43" s="152">
        <v>1.7240709E-2</v>
      </c>
      <c r="AB43" s="152">
        <v>7.3281356574329506E-2</v>
      </c>
      <c r="AC43" s="153">
        <v>4.3941800000000001E-4</v>
      </c>
      <c r="AD43" s="154">
        <v>1.149550282653055E-2</v>
      </c>
      <c r="AE43" s="153">
        <v>3.3093405373399451E-3</v>
      </c>
      <c r="AF43" s="156">
        <v>1.5244261363870495E-2</v>
      </c>
      <c r="AH43" s="157">
        <v>3555</v>
      </c>
      <c r="AJ43" s="157">
        <v>3.0626189865013602</v>
      </c>
      <c r="AK43" s="157">
        <v>2.0903589907866427</v>
      </c>
      <c r="AL43" s="157">
        <v>13.336166274553538</v>
      </c>
      <c r="AM43" s="157">
        <v>1.7014549925007554</v>
      </c>
      <c r="AN43" s="157">
        <v>8.6693182951228973</v>
      </c>
      <c r="AO43" s="157">
        <v>1.6204333261911955E-2</v>
      </c>
      <c r="AP43" s="157">
        <v>0.84262532961942194</v>
      </c>
      <c r="AQ43" s="157">
        <v>1.1991206613814849</v>
      </c>
      <c r="AR43" s="157">
        <v>1.1343033283338371</v>
      </c>
      <c r="AS43" s="157">
        <v>3.9700616491684291</v>
      </c>
      <c r="AT43" s="157">
        <v>10.549020953504687</v>
      </c>
      <c r="AU43" s="157">
        <v>0.97225999571471744</v>
      </c>
      <c r="AV43" s="157">
        <v>0.8264210577552743</v>
      </c>
      <c r="AW43" s="157">
        <v>22.345775525855419</v>
      </c>
      <c r="AX43" s="157">
        <v>2.6088975140050632</v>
      </c>
      <c r="AY43" s="157">
        <v>8.1345753006852313</v>
      </c>
      <c r="AZ43" s="157">
        <v>0.37269965600225041</v>
      </c>
      <c r="BA43" s="157">
        <v>0.48612992842981717</v>
      </c>
      <c r="BB43" s="157">
        <v>0.95605571053727145</v>
      </c>
      <c r="BC43" s="157">
        <v>0.61576465922250356</v>
      </c>
      <c r="BD43" s="157">
        <v>0.59956027886807306</v>
      </c>
      <c r="BE43" s="157">
        <v>5.0233433218745427</v>
      </c>
      <c r="BF43" s="157">
        <v>1.3449595908725738</v>
      </c>
      <c r="BG43" s="157">
        <v>5.7167291296893534</v>
      </c>
      <c r="BH43" s="157">
        <v>3.4279301013783403E-2</v>
      </c>
      <c r="BI43" s="157">
        <v>0.89677209785543299</v>
      </c>
      <c r="BJ43" s="157">
        <v>0.25816393601671234</v>
      </c>
      <c r="BK43" s="44"/>
      <c r="BL43" s="161">
        <v>18.489144251841541</v>
      </c>
      <c r="BM43" s="161">
        <v>10.386977620885565</v>
      </c>
      <c r="BN43" s="161">
        <v>3.1760493193347439</v>
      </c>
      <c r="BO43" s="161">
        <v>15.491342598387833</v>
      </c>
      <c r="BP43" s="161">
        <v>25.781094097615757</v>
      </c>
      <c r="BQ43" s="161">
        <v>8.9934048851172985</v>
      </c>
      <c r="BR43" s="161">
        <v>2.171380648627848</v>
      </c>
      <c r="BS43" s="161">
        <v>12.08503204243647</v>
      </c>
      <c r="BT43" s="161">
        <v>1.1892153348859287</v>
      </c>
      <c r="BU43" s="161">
        <v>33.777095601263589</v>
      </c>
    </row>
    <row r="44" spans="2:73" x14ac:dyDescent="0.25">
      <c r="B44" s="160">
        <v>19101</v>
      </c>
      <c r="C44" s="160">
        <v>3</v>
      </c>
      <c r="D44" s="160" t="s">
        <v>1281</v>
      </c>
      <c r="E44" s="152">
        <v>3.2952579150149416E-2</v>
      </c>
      <c r="F44" s="152">
        <v>2.2992790001514225E-2</v>
      </c>
      <c r="G44" s="152">
        <v>8.4580620362713008E-2</v>
      </c>
      <c r="H44" s="152">
        <v>5.5839632860820235E-2</v>
      </c>
      <c r="I44" s="152">
        <v>1.0401500238780241E-2</v>
      </c>
      <c r="J44" s="152">
        <v>2.1076724168054707E-2</v>
      </c>
      <c r="K44" s="152">
        <v>6.4051343575646735E-2</v>
      </c>
      <c r="L44" s="152">
        <v>5.2828672265383854E-2</v>
      </c>
      <c r="M44" s="152">
        <v>0.21624171549043136</v>
      </c>
      <c r="N44" s="152">
        <v>6.1314106670704589E-2</v>
      </c>
      <c r="O44" s="152">
        <v>9.6898186434952766E-2</v>
      </c>
      <c r="P44" s="152">
        <v>2.4361408453985298E-2</v>
      </c>
      <c r="Q44" s="152">
        <v>3.5857803000000001E-2</v>
      </c>
      <c r="R44" s="152">
        <v>1.7244592E-2</v>
      </c>
      <c r="S44" s="152">
        <v>3.7500145999999998E-2</v>
      </c>
      <c r="T44" s="152">
        <v>0.44644334099999988</v>
      </c>
      <c r="U44" s="152">
        <v>2.7646094999999996E-2</v>
      </c>
      <c r="V44" s="152">
        <v>1.8065762999999999E-2</v>
      </c>
      <c r="W44" s="152">
        <v>4.2427171999999999E-2</v>
      </c>
      <c r="X44" s="152">
        <v>0.12536545000000002</v>
      </c>
      <c r="Y44" s="152">
        <v>2.1076727E-2</v>
      </c>
      <c r="Z44" s="152">
        <v>1.6970867999999997E-2</v>
      </c>
      <c r="AA44" s="152">
        <v>1.8613211999999997E-2</v>
      </c>
      <c r="AB44" s="152">
        <v>3.1375570000019719E-2</v>
      </c>
      <c r="AC44" s="153">
        <v>5.7427426999999996E-2</v>
      </c>
      <c r="AD44" s="154">
        <v>7.9462188603872698E-3</v>
      </c>
      <c r="AE44" s="153">
        <v>4.1882910221301119E-2</v>
      </c>
      <c r="AF44" s="156">
        <v>0.10725655608168838</v>
      </c>
      <c r="AH44" s="157">
        <v>0</v>
      </c>
      <c r="AJ44" s="157">
        <v>0</v>
      </c>
      <c r="AK44" s="157">
        <v>0</v>
      </c>
      <c r="AL44" s="157">
        <v>0</v>
      </c>
      <c r="AM44" s="157">
        <v>0</v>
      </c>
      <c r="AN44" s="157">
        <v>0</v>
      </c>
      <c r="AO44" s="157">
        <v>0</v>
      </c>
      <c r="AP44" s="157">
        <v>0</v>
      </c>
      <c r="AQ44" s="157">
        <v>0</v>
      </c>
      <c r="AR44" s="157">
        <v>0</v>
      </c>
      <c r="AS44" s="157">
        <v>0</v>
      </c>
      <c r="AT44" s="157">
        <v>0</v>
      </c>
      <c r="AU44" s="157">
        <v>0</v>
      </c>
      <c r="AV44" s="157">
        <v>0</v>
      </c>
      <c r="AW44" s="157">
        <v>0</v>
      </c>
      <c r="AX44" s="157">
        <v>0</v>
      </c>
      <c r="AY44" s="157">
        <v>0</v>
      </c>
      <c r="AZ44" s="157">
        <v>0</v>
      </c>
      <c r="BA44" s="157">
        <v>0</v>
      </c>
      <c r="BB44" s="157">
        <v>0</v>
      </c>
      <c r="BC44" s="157">
        <v>0</v>
      </c>
      <c r="BD44" s="157">
        <v>0</v>
      </c>
      <c r="BE44" s="157">
        <v>0</v>
      </c>
      <c r="BF44" s="157">
        <v>0</v>
      </c>
      <c r="BG44" s="157">
        <v>0</v>
      </c>
      <c r="BH44" s="157">
        <v>0</v>
      </c>
      <c r="BI44" s="157">
        <v>0</v>
      </c>
      <c r="BJ44" s="157">
        <v>0</v>
      </c>
      <c r="BK44" s="44"/>
      <c r="BL44" s="161">
        <v>0</v>
      </c>
      <c r="BM44" s="161">
        <v>0</v>
      </c>
      <c r="BN44" s="161">
        <v>0</v>
      </c>
      <c r="BO44" s="161">
        <v>0</v>
      </c>
      <c r="BP44" s="161">
        <v>0</v>
      </c>
      <c r="BQ44" s="161">
        <v>0</v>
      </c>
      <c r="BR44" s="161">
        <v>0</v>
      </c>
      <c r="BS44" s="161">
        <v>0</v>
      </c>
      <c r="BT44" s="161">
        <v>0</v>
      </c>
      <c r="BU44" s="161">
        <v>0</v>
      </c>
    </row>
    <row r="45" spans="2:73" x14ac:dyDescent="0.25">
      <c r="B45" s="151">
        <v>41104</v>
      </c>
      <c r="C45" s="151">
        <v>4</v>
      </c>
      <c r="D45" s="151" t="s">
        <v>1286</v>
      </c>
      <c r="E45" s="152">
        <v>9.8493937311450973E-3</v>
      </c>
      <c r="F45" s="152">
        <v>7.2111632674455176E-3</v>
      </c>
      <c r="G45" s="152">
        <v>3.9866593673682539E-3</v>
      </c>
      <c r="H45" s="152">
        <v>3.7521499928171798E-3</v>
      </c>
      <c r="I45" s="152">
        <v>9.966648418420633E-3</v>
      </c>
      <c r="J45" s="152">
        <v>5.6692641297722078E-2</v>
      </c>
      <c r="K45" s="152">
        <v>7.3284179547210542E-3</v>
      </c>
      <c r="L45" s="152">
        <v>1.090468591662493E-2</v>
      </c>
      <c r="M45" s="152">
        <v>2.3919956204209523E-2</v>
      </c>
      <c r="N45" s="152">
        <v>6.0034399885074863E-2</v>
      </c>
      <c r="O45" s="152">
        <v>7.580515532363459E-2</v>
      </c>
      <c r="P45" s="152">
        <v>1.4187817160339962E-2</v>
      </c>
      <c r="Q45" s="152">
        <v>1.1139196000000001E-2</v>
      </c>
      <c r="R45" s="152">
        <v>3.1072490000000003E-3</v>
      </c>
      <c r="S45" s="152">
        <v>2.520975E-3</v>
      </c>
      <c r="T45" s="152">
        <v>8.5595910000000001E-3</v>
      </c>
      <c r="U45" s="152">
        <v>9.1282772999999998E-2</v>
      </c>
      <c r="V45" s="152">
        <v>4.9246970000000004E-3</v>
      </c>
      <c r="W45" s="152">
        <v>1.7060553999999999E-2</v>
      </c>
      <c r="X45" s="152">
        <v>8.0905740000000014E-3</v>
      </c>
      <c r="Y45" s="152">
        <v>3.9866600000000004E-3</v>
      </c>
      <c r="Z45" s="152">
        <v>1.5418992000000001E-2</v>
      </c>
      <c r="AA45" s="152">
        <v>7.8502011999999982E-2</v>
      </c>
      <c r="AB45" s="152">
        <v>5.8764036944215642E-2</v>
      </c>
      <c r="AC45" s="153">
        <v>7.4731200000000006E-3</v>
      </c>
      <c r="AD45" s="154">
        <v>2.1231343973664258E-3</v>
      </c>
      <c r="AE45" s="153">
        <v>7.2965238200972055E-3</v>
      </c>
      <c r="AF45" s="156">
        <v>1.6892778217463631E-2</v>
      </c>
      <c r="AH45" s="157">
        <v>1003</v>
      </c>
      <c r="AJ45" s="157">
        <v>2.7233426367607252</v>
      </c>
      <c r="AK45" s="157">
        <v>1.9938758590569596</v>
      </c>
      <c r="AL45" s="157">
        <v>1.1023053529745792</v>
      </c>
      <c r="AM45" s="157">
        <v>1.0374638616231333</v>
      </c>
      <c r="AN45" s="157">
        <v>2.7557633824364478</v>
      </c>
      <c r="AO45" s="157">
        <v>15.675430534212031</v>
      </c>
      <c r="AP45" s="157">
        <v>2.0262966047326825</v>
      </c>
      <c r="AQ45" s="157">
        <v>3.0151293478422314</v>
      </c>
      <c r="AR45" s="157">
        <v>6.6138321178474762</v>
      </c>
      <c r="AS45" s="157">
        <v>16.599421785970129</v>
      </c>
      <c r="AT45" s="157">
        <v>20.960012079354872</v>
      </c>
      <c r="AU45" s="157">
        <v>3.9229102267624731</v>
      </c>
      <c r="AV45" s="157">
        <v>3.0799710351824525</v>
      </c>
      <c r="AW45" s="157">
        <v>0.8591497015672982</v>
      </c>
      <c r="AX45" s="157">
        <v>0.69704581734795612</v>
      </c>
      <c r="AY45" s="157">
        <v>2.3667141105164506</v>
      </c>
      <c r="AZ45" s="157">
        <v>25.239550219884343</v>
      </c>
      <c r="BA45" s="157">
        <v>1.361671355549352</v>
      </c>
      <c r="BB45" s="157">
        <v>4.7172176667118633</v>
      </c>
      <c r="BC45" s="157">
        <v>2.2370316114376871</v>
      </c>
      <c r="BD45" s="157">
        <v>1.1023055278963112</v>
      </c>
      <c r="BE45" s="157">
        <v>4.2633282286899306</v>
      </c>
      <c r="BF45" s="157">
        <v>21.705688917184442</v>
      </c>
      <c r="BG45" s="157">
        <v>16.248168332667433</v>
      </c>
      <c r="BH45" s="157">
        <v>2.0663065038484549</v>
      </c>
      <c r="BI45" s="157">
        <v>0.58704348569574893</v>
      </c>
      <c r="BJ45" s="157">
        <v>2.017477924207296</v>
      </c>
      <c r="BK45" s="44"/>
      <c r="BL45" s="161">
        <v>5.8195238487922634</v>
      </c>
      <c r="BM45" s="161">
        <v>19.468657778271613</v>
      </c>
      <c r="BN45" s="161">
        <v>11.65525807042239</v>
      </c>
      <c r="BO45" s="161">
        <v>41.48234409208748</v>
      </c>
      <c r="BP45" s="161">
        <v>4.6361665540977075</v>
      </c>
      <c r="BQ45" s="161">
        <v>28.967935685950145</v>
      </c>
      <c r="BR45" s="161">
        <v>8.0565548060458614</v>
      </c>
      <c r="BS45" s="161">
        <v>42.217185478541808</v>
      </c>
      <c r="BT45" s="161">
        <v>4.6708279137515003</v>
      </c>
      <c r="BU45" s="161">
        <v>60.328979323071763</v>
      </c>
    </row>
    <row r="46" spans="2:73" x14ac:dyDescent="0.25">
      <c r="B46" s="160">
        <v>19103</v>
      </c>
      <c r="C46" s="160">
        <v>3</v>
      </c>
      <c r="D46" s="160" t="s">
        <v>1285</v>
      </c>
      <c r="E46" s="152">
        <v>3.4904623794936307E-3</v>
      </c>
      <c r="F46" s="152">
        <v>6.0180385853338455E-3</v>
      </c>
      <c r="G46" s="152">
        <v>1.9859527331601692E-2</v>
      </c>
      <c r="H46" s="152">
        <v>2.888658520960246E-3</v>
      </c>
      <c r="I46" s="152">
        <v>1.9257723473068307E-3</v>
      </c>
      <c r="J46" s="152">
        <v>1.685050803893477E-3</v>
      </c>
      <c r="K46" s="152">
        <v>1.3480406431147816E-2</v>
      </c>
      <c r="L46" s="152">
        <v>4.9347916399737533E-2</v>
      </c>
      <c r="M46" s="152">
        <v>8.593759099856732E-2</v>
      </c>
      <c r="N46" s="152">
        <v>2.1905660450615202E-2</v>
      </c>
      <c r="O46" s="152">
        <v>3.2738129904216123E-2</v>
      </c>
      <c r="P46" s="152">
        <v>1.6369064952108058E-2</v>
      </c>
      <c r="Q46" s="152">
        <v>6.2587600000000004E-3</v>
      </c>
      <c r="R46" s="152">
        <v>2.2868540000000001E-3</v>
      </c>
      <c r="S46" s="152">
        <v>4.2126259999999997E-3</v>
      </c>
      <c r="T46" s="152">
        <v>1.2758240000000001E-2</v>
      </c>
      <c r="U46" s="152">
        <v>2.1664940000000001E-3</v>
      </c>
      <c r="V46" s="152">
        <v>7.3420069999999994E-3</v>
      </c>
      <c r="W46" s="152">
        <v>3.4904624999999995E-2</v>
      </c>
      <c r="X46" s="152">
        <v>3.9719054999999989E-2</v>
      </c>
      <c r="Y46" s="152">
        <v>1.4684012999999999E-2</v>
      </c>
      <c r="Z46" s="152">
        <v>3.4904630000000001E-3</v>
      </c>
      <c r="AA46" s="152">
        <v>1.0230666000000001E-2</v>
      </c>
      <c r="AB46" s="152">
        <v>9.350858218115498E-3</v>
      </c>
      <c r="AC46" s="153">
        <v>1.1533007999999999E-2</v>
      </c>
      <c r="AD46" s="154">
        <v>7.6602984964213713E-4</v>
      </c>
      <c r="AE46" s="153">
        <v>2.436348160757901E-3</v>
      </c>
      <c r="AF46" s="156">
        <v>1.4735386010400038E-2</v>
      </c>
      <c r="AH46" s="157">
        <v>2100</v>
      </c>
      <c r="AJ46" s="157">
        <v>0.46095378608581411</v>
      </c>
      <c r="AK46" s="157">
        <v>0.79474790704450693</v>
      </c>
      <c r="AL46" s="157">
        <v>2.6226680932468733</v>
      </c>
      <c r="AM46" s="157">
        <v>0.38147899538136337</v>
      </c>
      <c r="AN46" s="157">
        <v>0.25431933025424225</v>
      </c>
      <c r="AO46" s="157">
        <v>0.22252941397246198</v>
      </c>
      <c r="AP46" s="157">
        <v>1.7802353117796959</v>
      </c>
      <c r="AQ46" s="157">
        <v>6.5169328377649576</v>
      </c>
      <c r="AR46" s="157">
        <v>11.349000112595562</v>
      </c>
      <c r="AS46" s="157">
        <v>2.8928823816420062</v>
      </c>
      <c r="AT46" s="157">
        <v>4.3234286143221183</v>
      </c>
      <c r="AU46" s="157">
        <v>2.1617143071610587</v>
      </c>
      <c r="AV46" s="157">
        <v>0.82653780632380958</v>
      </c>
      <c r="AW46" s="157">
        <v>0.30200411719619047</v>
      </c>
      <c r="AX46" s="157">
        <v>0.5563234015847619</v>
      </c>
      <c r="AY46" s="157">
        <v>1.6848653251047618</v>
      </c>
      <c r="AZ46" s="157">
        <v>0.28610926096761907</v>
      </c>
      <c r="BA46" s="157">
        <v>0.96959243680761897</v>
      </c>
      <c r="BB46" s="157">
        <v>4.6095380199999987</v>
      </c>
      <c r="BC46" s="157">
        <v>5.2453362309714278</v>
      </c>
      <c r="BD46" s="157">
        <v>1.9391847415542858</v>
      </c>
      <c r="BE46" s="157">
        <v>0.46095386803047622</v>
      </c>
      <c r="BF46" s="157">
        <v>1.3510714954514287</v>
      </c>
      <c r="BG46" s="157">
        <v>1.234883241863588</v>
      </c>
      <c r="BH46" s="157">
        <v>1.5230600202971427</v>
      </c>
      <c r="BI46" s="157">
        <v>0.10116263149597839</v>
      </c>
      <c r="BJ46" s="157">
        <v>0.32174645844127009</v>
      </c>
      <c r="BK46" s="44"/>
      <c r="BL46" s="161">
        <v>3.8783697863771947</v>
      </c>
      <c r="BM46" s="161">
        <v>0.85832773960806763</v>
      </c>
      <c r="BN46" s="161">
        <v>19.646168262140215</v>
      </c>
      <c r="BO46" s="161">
        <v>9.3780253031251828</v>
      </c>
      <c r="BP46" s="161">
        <v>1.6848653251047621</v>
      </c>
      <c r="BQ46" s="161">
        <v>2.9405670228799998</v>
      </c>
      <c r="BR46" s="161">
        <v>11.794058992525713</v>
      </c>
      <c r="BS46" s="161">
        <v>3.046908605345493</v>
      </c>
      <c r="BT46" s="161">
        <v>1.9459691102343912</v>
      </c>
      <c r="BU46" s="161">
        <v>20.337055826014733</v>
      </c>
    </row>
    <row r="47" spans="2:73" x14ac:dyDescent="0.25">
      <c r="B47" s="151">
        <v>20105</v>
      </c>
      <c r="C47" s="151">
        <v>4</v>
      </c>
      <c r="D47" s="151" t="s">
        <v>1175</v>
      </c>
      <c r="E47" s="152">
        <v>3.165798904328717E-2</v>
      </c>
      <c r="F47" s="152">
        <v>6.3613773931409892E-2</v>
      </c>
      <c r="G47" s="152">
        <v>4.4646469352653172E-2</v>
      </c>
      <c r="H47" s="152">
        <v>5.4679898586343312E-2</v>
      </c>
      <c r="I47" s="152">
        <v>1.4248385806747192E-2</v>
      </c>
      <c r="J47" s="152">
        <v>1.1659852693945854E-2</v>
      </c>
      <c r="K47" s="152">
        <v>9.0025974631055394E-3</v>
      </c>
      <c r="L47" s="152">
        <v>1.8784045597319446E-3</v>
      </c>
      <c r="M47" s="152">
        <v>1.3515349880998142E-2</v>
      </c>
      <c r="N47" s="152">
        <v>2.5129387829584678E-2</v>
      </c>
      <c r="O47" s="152">
        <v>5.7039357972348097E-3</v>
      </c>
      <c r="P47" s="152">
        <v>1.7959380180851761E-2</v>
      </c>
      <c r="Q47" s="152">
        <v>9.3462079000000003E-3</v>
      </c>
      <c r="R47" s="152">
        <v>2.8634214999999998E-3</v>
      </c>
      <c r="S47" s="152">
        <v>1.00334285E-2</v>
      </c>
      <c r="T47" s="152">
        <v>2.748885E-3</v>
      </c>
      <c r="U47" s="152">
        <v>4.1462341E-3</v>
      </c>
      <c r="V47" s="152">
        <v>1.3515345000000001E-3</v>
      </c>
      <c r="W47" s="152">
        <v>2.1899448700000008E-2</v>
      </c>
      <c r="X47" s="152">
        <v>9.3920226000000027E-3</v>
      </c>
      <c r="Y47" s="152">
        <v>6.3224354000000005E-3</v>
      </c>
      <c r="Z47" s="152">
        <v>2.0845714E-3</v>
      </c>
      <c r="AA47" s="152">
        <v>2.153294E-3</v>
      </c>
      <c r="AB47" s="152">
        <v>2.7424575079388626E-3</v>
      </c>
      <c r="AC47" s="153">
        <v>7.3332679E-3</v>
      </c>
      <c r="AD47" s="154">
        <v>1.2159629622779925E-2</v>
      </c>
      <c r="AE47" s="153">
        <v>3.5249056324476351E-3</v>
      </c>
      <c r="AF47" s="156">
        <v>2.301780315522756E-2</v>
      </c>
      <c r="AH47" s="157">
        <v>385</v>
      </c>
      <c r="AJ47" s="157">
        <v>22.804277364666866</v>
      </c>
      <c r="AK47" s="157">
        <v>45.823066745065049</v>
      </c>
      <c r="AL47" s="157">
        <v>32.160301435409345</v>
      </c>
      <c r="AM47" s="157">
        <v>39.387706273125758</v>
      </c>
      <c r="AN47" s="157">
        <v>10.263574906528794</v>
      </c>
      <c r="AO47" s="157">
        <v>8.3989704620951056</v>
      </c>
      <c r="AP47" s="157">
        <v>6.4848632448003452</v>
      </c>
      <c r="AQ47" s="157">
        <v>1.3530757915359499</v>
      </c>
      <c r="AR47" s="157">
        <v>9.735545329344033</v>
      </c>
      <c r="AS47" s="157">
        <v>18.10151394286509</v>
      </c>
      <c r="AT47" s="157">
        <v>4.1087301474689228</v>
      </c>
      <c r="AU47" s="157">
        <v>12.936724641026643</v>
      </c>
      <c r="AV47" s="157">
        <v>6.7323769986784416</v>
      </c>
      <c r="AW47" s="157">
        <v>2.0626154746805194</v>
      </c>
      <c r="AX47" s="157">
        <v>7.2274043092155846</v>
      </c>
      <c r="AY47" s="157">
        <v>1.9801111150129869</v>
      </c>
      <c r="AZ47" s="157">
        <v>2.9866670402202598</v>
      </c>
      <c r="BA47" s="157">
        <v>0.97355418134025984</v>
      </c>
      <c r="BB47" s="157">
        <v>15.774883919671693</v>
      </c>
      <c r="BC47" s="157">
        <v>6.7653788145787024</v>
      </c>
      <c r="BD47" s="157">
        <v>4.5542554924966234</v>
      </c>
      <c r="BE47" s="157">
        <v>1.5015844603096105</v>
      </c>
      <c r="BF47" s="157">
        <v>1.5510875803428572</v>
      </c>
      <c r="BG47" s="157">
        <v>1.9754811837965427</v>
      </c>
      <c r="BH47" s="157">
        <v>5.2823909614836362</v>
      </c>
      <c r="BI47" s="157">
        <v>8.7589760104579515</v>
      </c>
      <c r="BJ47" s="157">
        <v>2.5391039720400981</v>
      </c>
      <c r="BK47" s="44"/>
      <c r="BL47" s="161">
        <v>100.78764554514126</v>
      </c>
      <c r="BM47" s="161">
        <v>58.050251641749661</v>
      </c>
      <c r="BN47" s="161">
        <v>17.573484365680329</v>
      </c>
      <c r="BO47" s="161">
        <v>35.146968731360658</v>
      </c>
      <c r="BP47" s="161">
        <v>16.022396782574546</v>
      </c>
      <c r="BQ47" s="161">
        <v>5.9403323365735066</v>
      </c>
      <c r="BR47" s="161">
        <v>27.094518226747017</v>
      </c>
      <c r="BS47" s="161">
        <v>5.0281532244490101</v>
      </c>
      <c r="BT47" s="161">
        <v>16.580470943981688</v>
      </c>
      <c r="BU47" s="161">
        <v>110.65521154340088</v>
      </c>
    </row>
    <row r="48" spans="2:73" x14ac:dyDescent="0.25">
      <c r="B48" s="151">
        <v>41101</v>
      </c>
      <c r="C48" s="151">
        <v>4</v>
      </c>
      <c r="D48" s="151" t="s">
        <v>1058</v>
      </c>
      <c r="E48" s="152">
        <v>7.827332766472924E-4</v>
      </c>
      <c r="F48" s="152">
        <v>5.7307257754533924E-4</v>
      </c>
      <c r="G48" s="152">
        <v>3.1682061197628502E-4</v>
      </c>
      <c r="H48" s="152">
        <v>2.9818410538944479E-4</v>
      </c>
      <c r="I48" s="152">
        <v>7.9205152994071262E-4</v>
      </c>
      <c r="J48" s="152">
        <v>4.5053754673686419E-3</v>
      </c>
      <c r="K48" s="152">
        <v>5.8239083083875924E-4</v>
      </c>
      <c r="L48" s="152">
        <v>8.6659755628807375E-4</v>
      </c>
      <c r="M48" s="152">
        <v>1.9009236718577104E-3</v>
      </c>
      <c r="N48" s="152">
        <v>4.770945686231114E-3</v>
      </c>
      <c r="O48" s="152">
        <v>6.0242507541961232E-3</v>
      </c>
      <c r="P48" s="152">
        <v>1.1275086485038378E-3</v>
      </c>
      <c r="Q48" s="152">
        <v>8.0137025000000001E-4</v>
      </c>
      <c r="R48" s="152">
        <v>2.4693364999999997E-4</v>
      </c>
      <c r="S48" s="152">
        <v>2.0034239999999997E-4</v>
      </c>
      <c r="T48" s="152">
        <v>6.8023270000000004E-4</v>
      </c>
      <c r="U48" s="152">
        <v>7.2542609999999997E-3</v>
      </c>
      <c r="V48" s="152">
        <v>3.9136675000000002E-4</v>
      </c>
      <c r="W48" s="152">
        <v>1.3558055E-3</v>
      </c>
      <c r="X48" s="152">
        <v>6.4296014999999998E-4</v>
      </c>
      <c r="Y48" s="152">
        <v>2.6091115000000001E-4</v>
      </c>
      <c r="Z48" s="152">
        <v>1.22535045E-3</v>
      </c>
      <c r="AA48" s="152">
        <v>6.238570750000001E-3</v>
      </c>
      <c r="AB48" s="152">
        <v>2.3795002549033663E-3</v>
      </c>
      <c r="AC48" s="153">
        <v>6.3568019999999997E-4</v>
      </c>
      <c r="AD48" s="154">
        <v>2.3758884922909999E-4</v>
      </c>
      <c r="AE48" s="153">
        <v>1.7226704166975056E-3</v>
      </c>
      <c r="AF48" s="156">
        <v>2.5959394659266057E-3</v>
      </c>
      <c r="AH48" s="157">
        <v>85</v>
      </c>
      <c r="AJ48" s="157">
        <v>2.5538100487769446</v>
      </c>
      <c r="AK48" s="157">
        <v>1.8697537857116924</v>
      </c>
      <c r="AL48" s="157">
        <v>1.0336850197430489</v>
      </c>
      <c r="AM48" s="157">
        <v>0.97288001858169348</v>
      </c>
      <c r="AN48" s="157">
        <v>2.5842125493576229</v>
      </c>
      <c r="AO48" s="157">
        <v>14.699609030757772</v>
      </c>
      <c r="AP48" s="157">
        <v>1.9001562862923695</v>
      </c>
      <c r="AQ48" s="157">
        <v>2.8274325540030461</v>
      </c>
      <c r="AR48" s="157">
        <v>6.2021101184582959</v>
      </c>
      <c r="AS48" s="157">
        <v>15.566080297307089</v>
      </c>
      <c r="AT48" s="157">
        <v>19.655216625408265</v>
      </c>
      <c r="AU48" s="157">
        <v>3.6787025702620273</v>
      </c>
      <c r="AV48" s="157">
        <v>2.614616572847059</v>
      </c>
      <c r="AW48" s="157">
        <v>0.80566606220235282</v>
      </c>
      <c r="AX48" s="157">
        <v>0.65365361302588221</v>
      </c>
      <c r="AY48" s="157">
        <v>2.2193832261835293</v>
      </c>
      <c r="AZ48" s="157">
        <v>23.668349348329411</v>
      </c>
      <c r="BA48" s="157">
        <v>1.2769053887529411</v>
      </c>
      <c r="BB48" s="157">
        <v>4.4235626788705886</v>
      </c>
      <c r="BC48" s="157">
        <v>2.0977747350494118</v>
      </c>
      <c r="BD48" s="157">
        <v>0.85127020479058835</v>
      </c>
      <c r="BE48" s="157">
        <v>3.9979292893835296</v>
      </c>
      <c r="BF48" s="157">
        <v>20.354474693600004</v>
      </c>
      <c r="BG48" s="157">
        <v>7.7635534904922441</v>
      </c>
      <c r="BH48" s="157">
        <v>2.0740225706541175</v>
      </c>
      <c r="BI48" s="157">
        <v>0.77517694563538642</v>
      </c>
      <c r="BJ48" s="157">
        <v>5.6205263684927749</v>
      </c>
      <c r="BK48" s="44"/>
      <c r="BL48" s="161">
        <v>5.4572488542316862</v>
      </c>
      <c r="BM48" s="161">
        <v>18.256701598697088</v>
      </c>
      <c r="BN48" s="161">
        <v>10.929698958753711</v>
      </c>
      <c r="BO48" s="161">
        <v>38.899999492977379</v>
      </c>
      <c r="BP48" s="161">
        <v>4.0739362480752934</v>
      </c>
      <c r="BQ48" s="161">
        <v>27.164637963265879</v>
      </c>
      <c r="BR48" s="161">
        <v>7.3726076187105889</v>
      </c>
      <c r="BS48" s="161">
        <v>32.115957473475774</v>
      </c>
      <c r="BT48" s="161">
        <v>8.4697258847822781</v>
      </c>
      <c r="BU48" s="161">
        <v>59.383230582438841</v>
      </c>
    </row>
    <row r="49" spans="2:73" x14ac:dyDescent="0.25">
      <c r="B49" s="160">
        <v>19104</v>
      </c>
      <c r="C49" s="160">
        <v>3</v>
      </c>
      <c r="D49" s="160" t="s">
        <v>1287</v>
      </c>
      <c r="E49" s="152">
        <v>2.3328635380631235E-2</v>
      </c>
      <c r="F49" s="152">
        <v>2.5878213017858694E-3</v>
      </c>
      <c r="G49" s="152">
        <v>2.804535400950204E-3</v>
      </c>
      <c r="H49" s="152">
        <v>3.0594931646729488E-4</v>
      </c>
      <c r="I49" s="152">
        <v>2.6133170781581436E-3</v>
      </c>
      <c r="J49" s="152">
        <v>1.912183227920593E-4</v>
      </c>
      <c r="K49" s="152">
        <v>6.6289018567913882E-3</v>
      </c>
      <c r="L49" s="152">
        <v>6.3229525403240942E-3</v>
      </c>
      <c r="M49" s="152">
        <v>1.4787550295919253E-2</v>
      </c>
      <c r="N49" s="152">
        <v>9.1147400530881585E-3</v>
      </c>
      <c r="O49" s="152">
        <v>1.1269133156545359E-2</v>
      </c>
      <c r="P49" s="152">
        <v>8.5410850847119821E-4</v>
      </c>
      <c r="Q49" s="152">
        <v>6.6289000000000007E-4</v>
      </c>
      <c r="R49" s="152">
        <v>2.1926367999999998E-3</v>
      </c>
      <c r="S49" s="152">
        <v>4.5892399999999999E-4</v>
      </c>
      <c r="T49" s="152">
        <v>2.4603427000000001E-3</v>
      </c>
      <c r="U49" s="152">
        <v>2.2946220000000001E-4</v>
      </c>
      <c r="V49" s="152">
        <v>7.9037000000000009E-4</v>
      </c>
      <c r="W49" s="152">
        <v>4.7804594000000001E-3</v>
      </c>
      <c r="X49" s="152">
        <v>4.2322986999999996E-3</v>
      </c>
      <c r="Y49" s="152">
        <v>3.4929216999999998E-3</v>
      </c>
      <c r="Z49" s="152">
        <v>2.9575101000000005E-3</v>
      </c>
      <c r="AA49" s="152">
        <v>1.2110490000000001E-3</v>
      </c>
      <c r="AB49" s="152">
        <v>1.0066223661995596E-3</v>
      </c>
      <c r="AC49" s="153">
        <v>1.0800148000000001E-3</v>
      </c>
      <c r="AD49" s="154">
        <v>9.0621590131493787E-5</v>
      </c>
      <c r="AE49" s="153">
        <v>2.5904818296203095E-4</v>
      </c>
      <c r="AF49" s="156">
        <v>1.4296845730935248E-3</v>
      </c>
      <c r="AH49" s="157">
        <v>208</v>
      </c>
      <c r="AJ49" s="157">
        <v>31.104249004037015</v>
      </c>
      <c r="AK49" s="157">
        <v>3.450362047988806</v>
      </c>
      <c r="AL49" s="157">
        <v>3.7393086234361448</v>
      </c>
      <c r="AM49" s="157">
        <v>0.40792457710212476</v>
      </c>
      <c r="AN49" s="157">
        <v>3.4843557627473154</v>
      </c>
      <c r="AO49" s="157">
        <v>0.254952860688828</v>
      </c>
      <c r="AP49" s="157">
        <v>8.8383658372127023</v>
      </c>
      <c r="AQ49" s="157">
        <v>8.4304412601105785</v>
      </c>
      <c r="AR49" s="157">
        <v>19.716354559936029</v>
      </c>
      <c r="AS49" s="157">
        <v>12.152753026167467</v>
      </c>
      <c r="AT49" s="157">
        <v>15.025221923261594</v>
      </c>
      <c r="AU49" s="157">
        <v>1.1387894444100983</v>
      </c>
      <c r="AV49" s="157">
        <v>0.88383633615384616</v>
      </c>
      <c r="AW49" s="157">
        <v>2.9234595118769229</v>
      </c>
      <c r="AX49" s="157">
        <v>0.61188689938461538</v>
      </c>
      <c r="AY49" s="157">
        <v>3.2803938476230772</v>
      </c>
      <c r="AZ49" s="157">
        <v>0.30594371635384615</v>
      </c>
      <c r="BA49" s="157">
        <v>1.0538064007692309</v>
      </c>
      <c r="BB49" s="157">
        <v>6.3738232907846148</v>
      </c>
      <c r="BC49" s="157">
        <v>5.6429564128538452</v>
      </c>
      <c r="BD49" s="157">
        <v>4.6571393712384612</v>
      </c>
      <c r="BE49" s="157">
        <v>3.943270966407693</v>
      </c>
      <c r="BF49" s="157">
        <v>1.6147009474615386</v>
      </c>
      <c r="BG49" s="157">
        <v>1.3421373441028437</v>
      </c>
      <c r="BH49" s="157">
        <v>1.4399920406461537</v>
      </c>
      <c r="BI49" s="157">
        <v>0.12082646321147551</v>
      </c>
      <c r="BJ49" s="157">
        <v>0.34539093502160634</v>
      </c>
      <c r="BK49" s="44"/>
      <c r="BL49" s="161">
        <v>38.293919675461964</v>
      </c>
      <c r="BM49" s="161">
        <v>4.1472332005382677</v>
      </c>
      <c r="BN49" s="161">
        <v>36.985161657259312</v>
      </c>
      <c r="BO49" s="161">
        <v>28.316764393839158</v>
      </c>
      <c r="BP49" s="161">
        <v>4.419182747415384</v>
      </c>
      <c r="BQ49" s="161">
        <v>4.6401439647461542</v>
      </c>
      <c r="BR49" s="161">
        <v>16.67391907487692</v>
      </c>
      <c r="BS49" s="161">
        <v>6.9001092579720744</v>
      </c>
      <c r="BT49" s="161">
        <v>1.9062094388792357</v>
      </c>
      <c r="BU49" s="161">
        <v>49.33375724254207</v>
      </c>
    </row>
    <row r="50" spans="2:73" x14ac:dyDescent="0.25">
      <c r="B50" s="151">
        <v>20104</v>
      </c>
      <c r="C50" s="151">
        <v>4</v>
      </c>
      <c r="D50" s="151" t="s">
        <v>1288</v>
      </c>
      <c r="E50" s="152">
        <v>5.9856835391761366E-5</v>
      </c>
      <c r="F50" s="152">
        <v>1.2327272586087071E-4</v>
      </c>
      <c r="G50" s="152">
        <v>2.2972082771973282E-5</v>
      </c>
      <c r="H50" s="152">
        <v>4.8532569236563265E-4</v>
      </c>
      <c r="I50" s="152">
        <v>5.5650679391259224E-5</v>
      </c>
      <c r="J50" s="152">
        <v>6.1474587699646806E-6</v>
      </c>
      <c r="K50" s="152">
        <v>1.1194845970567262E-4</v>
      </c>
      <c r="L50" s="152">
        <v>2.1677880925664927E-5</v>
      </c>
      <c r="M50" s="152">
        <v>3.170794523455467E-5</v>
      </c>
      <c r="N50" s="152">
        <v>2.7987114926418159E-4</v>
      </c>
      <c r="O50" s="152">
        <v>1.2586112955348738E-4</v>
      </c>
      <c r="P50" s="152">
        <v>4.0120257235558973E-5</v>
      </c>
      <c r="Q50" s="152">
        <v>6.7622070000000002E-5</v>
      </c>
      <c r="R50" s="152">
        <v>3.1384429999999999E-5</v>
      </c>
      <c r="S50" s="152">
        <v>1.3136187099999999E-4</v>
      </c>
      <c r="T50" s="152">
        <v>4.0443810000000001E-5</v>
      </c>
      <c r="U50" s="152">
        <v>3.2355031000000003E-5</v>
      </c>
      <c r="V50" s="152">
        <v>1.9089459999999998E-5</v>
      </c>
      <c r="W50" s="152">
        <v>2.9119490200000013E-4</v>
      </c>
      <c r="X50" s="152">
        <v>5.3385821000000011E-5</v>
      </c>
      <c r="Y50" s="152">
        <v>2.5884023000000001E-5</v>
      </c>
      <c r="Z50" s="152">
        <v>2.4913351E-5</v>
      </c>
      <c r="AA50" s="152">
        <v>3.0413773999999999E-5</v>
      </c>
      <c r="AB50" s="152">
        <v>3.8735250063646894E-5</v>
      </c>
      <c r="AC50" s="153">
        <v>1.6890947999999999E-5</v>
      </c>
      <c r="AD50" s="154">
        <v>5.794849981197561E-6</v>
      </c>
      <c r="AE50" s="153">
        <v>6.3281770409296111E-5</v>
      </c>
      <c r="AF50" s="156">
        <v>8.5967568390493674E-5</v>
      </c>
      <c r="AH50" s="157">
        <v>0</v>
      </c>
      <c r="AJ50" s="157">
        <v>0</v>
      </c>
      <c r="AK50" s="157">
        <v>0</v>
      </c>
      <c r="AL50" s="157">
        <v>0</v>
      </c>
      <c r="AM50" s="157">
        <v>0</v>
      </c>
      <c r="AN50" s="157">
        <v>0</v>
      </c>
      <c r="AO50" s="157">
        <v>0</v>
      </c>
      <c r="AP50" s="157">
        <v>0</v>
      </c>
      <c r="AQ50" s="157">
        <v>0</v>
      </c>
      <c r="AR50" s="157">
        <v>0</v>
      </c>
      <c r="AS50" s="157">
        <v>0</v>
      </c>
      <c r="AT50" s="157">
        <v>0</v>
      </c>
      <c r="AU50" s="157">
        <v>0</v>
      </c>
      <c r="AV50" s="157">
        <v>0</v>
      </c>
      <c r="AW50" s="157">
        <v>0</v>
      </c>
      <c r="AX50" s="157">
        <v>0</v>
      </c>
      <c r="AY50" s="157">
        <v>0</v>
      </c>
      <c r="AZ50" s="157">
        <v>0</v>
      </c>
      <c r="BA50" s="157">
        <v>0</v>
      </c>
      <c r="BB50" s="157">
        <v>0</v>
      </c>
      <c r="BC50" s="157">
        <v>0</v>
      </c>
      <c r="BD50" s="157">
        <v>0</v>
      </c>
      <c r="BE50" s="157">
        <v>0</v>
      </c>
      <c r="BF50" s="157">
        <v>0</v>
      </c>
      <c r="BG50" s="157">
        <v>0</v>
      </c>
      <c r="BH50" s="157">
        <v>0</v>
      </c>
      <c r="BI50" s="157">
        <v>0</v>
      </c>
      <c r="BJ50" s="157">
        <v>0</v>
      </c>
      <c r="BK50" s="44"/>
      <c r="BL50" s="161">
        <v>0</v>
      </c>
      <c r="BM50" s="161">
        <v>0</v>
      </c>
      <c r="BN50" s="161">
        <v>0</v>
      </c>
      <c r="BO50" s="161">
        <v>0</v>
      </c>
      <c r="BP50" s="161">
        <v>0</v>
      </c>
      <c r="BQ50" s="161">
        <v>0</v>
      </c>
      <c r="BR50" s="161">
        <v>0</v>
      </c>
      <c r="BS50" s="161">
        <v>0</v>
      </c>
      <c r="BT50" s="161">
        <v>0</v>
      </c>
      <c r="BU50" s="161">
        <v>0</v>
      </c>
    </row>
    <row r="51" spans="2:73" x14ac:dyDescent="0.25">
      <c r="B51" s="151">
        <v>20102</v>
      </c>
      <c r="C51" s="151">
        <v>4</v>
      </c>
      <c r="D51" s="151" t="s">
        <v>1289</v>
      </c>
      <c r="E51" s="152">
        <v>2.4460414895227891E-5</v>
      </c>
      <c r="F51" s="152">
        <v>4.9567930713609949E-5</v>
      </c>
      <c r="G51" s="152">
        <v>9.1888331087893113E-6</v>
      </c>
      <c r="H51" s="152">
        <v>9.1629490718631419E-5</v>
      </c>
      <c r="I51" s="152">
        <v>6.367473083837101E-5</v>
      </c>
      <c r="J51" s="152">
        <v>2.4589835079858719E-6</v>
      </c>
      <c r="K51" s="152">
        <v>4.5038224251530714E-5</v>
      </c>
      <c r="L51" s="152">
        <v>8.6711523702659716E-6</v>
      </c>
      <c r="M51" s="152">
        <v>1.4495060678653565E-5</v>
      </c>
      <c r="N51" s="152">
        <v>5.3062275698642512E-5</v>
      </c>
      <c r="O51" s="152">
        <v>1.9387143657699144E-4</v>
      </c>
      <c r="P51" s="152">
        <v>5.3579956437165839E-5</v>
      </c>
      <c r="Q51" s="152">
        <v>2.6531130999999999E-5</v>
      </c>
      <c r="R51" s="152">
        <v>1.2553753E-5</v>
      </c>
      <c r="S51" s="152">
        <v>5.2673963000000003E-5</v>
      </c>
      <c r="T51" s="152">
        <v>1.1647812000000002E-5</v>
      </c>
      <c r="U51" s="152">
        <v>1.2942007000000002E-5</v>
      </c>
      <c r="V51" s="152">
        <v>7.6357849999999996E-6</v>
      </c>
      <c r="W51" s="152">
        <v>1.1841946999999998E-4</v>
      </c>
      <c r="X51" s="152">
        <v>2.3295619000000003E-5</v>
      </c>
      <c r="Y51" s="152">
        <v>1.0483029E-5</v>
      </c>
      <c r="Z51" s="152">
        <v>1.1518387000000001E-5</v>
      </c>
      <c r="AA51" s="152">
        <v>1.6695207000000002E-5</v>
      </c>
      <c r="AB51" s="152">
        <v>1.5494101299069394E-5</v>
      </c>
      <c r="AC51" s="153">
        <v>8.4454899999999983E-6</v>
      </c>
      <c r="AD51" s="154">
        <v>2.8974249905987805E-6</v>
      </c>
      <c r="AE51" s="153">
        <v>9.128364542471567E-6</v>
      </c>
      <c r="AF51" s="156">
        <v>2.0471279533070344E-5</v>
      </c>
      <c r="AH51" s="157">
        <v>0</v>
      </c>
      <c r="AJ51" s="157">
        <v>0</v>
      </c>
      <c r="AK51" s="157">
        <v>0</v>
      </c>
      <c r="AL51" s="157">
        <v>0</v>
      </c>
      <c r="AM51" s="157">
        <v>0</v>
      </c>
      <c r="AN51" s="157">
        <v>0</v>
      </c>
      <c r="AO51" s="157">
        <v>0</v>
      </c>
      <c r="AP51" s="157">
        <v>0</v>
      </c>
      <c r="AQ51" s="157">
        <v>0</v>
      </c>
      <c r="AR51" s="157">
        <v>0</v>
      </c>
      <c r="AS51" s="157">
        <v>0</v>
      </c>
      <c r="AT51" s="157">
        <v>0</v>
      </c>
      <c r="AU51" s="157">
        <v>0</v>
      </c>
      <c r="AV51" s="157">
        <v>0</v>
      </c>
      <c r="AW51" s="157">
        <v>0</v>
      </c>
      <c r="AX51" s="157">
        <v>0</v>
      </c>
      <c r="AY51" s="157">
        <v>0</v>
      </c>
      <c r="AZ51" s="157">
        <v>0</v>
      </c>
      <c r="BA51" s="157">
        <v>0</v>
      </c>
      <c r="BB51" s="157">
        <v>0</v>
      </c>
      <c r="BC51" s="157">
        <v>0</v>
      </c>
      <c r="BD51" s="157">
        <v>0</v>
      </c>
      <c r="BE51" s="157">
        <v>0</v>
      </c>
      <c r="BF51" s="157">
        <v>0</v>
      </c>
      <c r="BG51" s="157">
        <v>0</v>
      </c>
      <c r="BH51" s="157">
        <v>0</v>
      </c>
      <c r="BI51" s="157">
        <v>0</v>
      </c>
      <c r="BJ51" s="157">
        <v>0</v>
      </c>
      <c r="BK51" s="44"/>
      <c r="BL51" s="161">
        <v>0</v>
      </c>
      <c r="BM51" s="161">
        <v>0</v>
      </c>
      <c r="BN51" s="161">
        <v>0</v>
      </c>
      <c r="BO51" s="161">
        <v>0</v>
      </c>
      <c r="BP51" s="161">
        <v>0</v>
      </c>
      <c r="BQ51" s="161">
        <v>0</v>
      </c>
      <c r="BR51" s="161">
        <v>0</v>
      </c>
      <c r="BS51" s="161">
        <v>0</v>
      </c>
      <c r="BT51" s="161">
        <v>0</v>
      </c>
      <c r="BU51" s="161">
        <v>0</v>
      </c>
    </row>
  </sheetData>
  <mergeCells count="20">
    <mergeCell ref="BP32:BS32"/>
    <mergeCell ref="AV6:BG6"/>
    <mergeCell ref="BH6:BJ6"/>
    <mergeCell ref="BL6:BO6"/>
    <mergeCell ref="BP6:BS6"/>
    <mergeCell ref="AV32:BG32"/>
    <mergeCell ref="BH32:BJ32"/>
    <mergeCell ref="BL32:BO32"/>
    <mergeCell ref="AF6:AF7"/>
    <mergeCell ref="AJ6:AU6"/>
    <mergeCell ref="B32:D32"/>
    <mergeCell ref="E32:P32"/>
    <mergeCell ref="Q32:AB32"/>
    <mergeCell ref="AC32:AE32"/>
    <mergeCell ref="B6:D6"/>
    <mergeCell ref="E6:P6"/>
    <mergeCell ref="Q6:AB6"/>
    <mergeCell ref="AC6:AE6"/>
    <mergeCell ref="AF32:AF33"/>
    <mergeCell ref="AJ32:AU32"/>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6:I17"/>
  <sheetViews>
    <sheetView zoomScale="75" zoomScaleNormal="75" workbookViewId="0">
      <selection activeCell="P16" sqref="P16"/>
    </sheetView>
  </sheetViews>
  <sheetFormatPr baseColWidth="10" defaultRowHeight="31.5" customHeight="1" x14ac:dyDescent="0.25"/>
  <cols>
    <col min="1" max="3" width="11.42578125" style="558"/>
    <col min="4" max="4" width="27.5703125" style="558" customWidth="1"/>
    <col min="5" max="5" width="6.28515625" style="558" bestFit="1" customWidth="1"/>
    <col min="6" max="9" width="16" style="558" bestFit="1" customWidth="1"/>
    <col min="10" max="16384" width="11.42578125" style="558"/>
  </cols>
  <sheetData>
    <row r="6" spans="3:9" ht="31.5" customHeight="1" x14ac:dyDescent="0.25">
      <c r="C6" s="756" t="s">
        <v>1580</v>
      </c>
      <c r="D6" s="756"/>
      <c r="E6" s="757" t="s">
        <v>17</v>
      </c>
      <c r="F6" s="757"/>
      <c r="G6" s="757"/>
      <c r="H6" s="757"/>
      <c r="I6" s="757"/>
    </row>
    <row r="7" spans="3:9" ht="31.5" customHeight="1" x14ac:dyDescent="0.25">
      <c r="C7" s="756"/>
      <c r="D7" s="756"/>
      <c r="E7" s="559" t="s">
        <v>41</v>
      </c>
      <c r="F7" s="559" t="s">
        <v>42</v>
      </c>
      <c r="G7" s="559" t="s">
        <v>43</v>
      </c>
      <c r="H7" s="559" t="s">
        <v>44</v>
      </c>
      <c r="I7" s="559" t="s">
        <v>986</v>
      </c>
    </row>
    <row r="8" spans="3:9" ht="31.5" customHeight="1" x14ac:dyDescent="0.25">
      <c r="C8" s="754" t="s">
        <v>1320</v>
      </c>
      <c r="D8" s="755"/>
      <c r="E8" s="560">
        <v>0</v>
      </c>
      <c r="F8" s="560">
        <v>0</v>
      </c>
      <c r="G8" s="560">
        <v>88465.056297431875</v>
      </c>
      <c r="H8" s="560">
        <v>90134.208303043779</v>
      </c>
      <c r="I8" s="560">
        <v>91803.360308655712</v>
      </c>
    </row>
    <row r="9" spans="3:9" ht="31.5" customHeight="1" x14ac:dyDescent="0.25">
      <c r="C9" s="754" t="s">
        <v>1415</v>
      </c>
      <c r="D9" s="755"/>
      <c r="E9" s="560">
        <v>0</v>
      </c>
      <c r="F9" s="560">
        <v>0</v>
      </c>
      <c r="G9" s="560">
        <v>0</v>
      </c>
      <c r="H9" s="560">
        <v>0</v>
      </c>
      <c r="I9" s="560">
        <v>1223116.9800290063</v>
      </c>
    </row>
    <row r="10" spans="3:9" ht="31.5" customHeight="1" x14ac:dyDescent="0.25">
      <c r="C10" s="754" t="s">
        <v>1393</v>
      </c>
      <c r="D10" s="755"/>
      <c r="E10" s="560">
        <v>0</v>
      </c>
      <c r="F10" s="560">
        <v>0</v>
      </c>
      <c r="G10" s="560">
        <v>162148.33351488656</v>
      </c>
      <c r="H10" s="560">
        <v>154574.99310764493</v>
      </c>
      <c r="I10" s="560">
        <v>147753.20331851314</v>
      </c>
    </row>
    <row r="11" spans="3:9" ht="31.5" customHeight="1" x14ac:dyDescent="0.25">
      <c r="C11" s="754" t="s">
        <v>8</v>
      </c>
      <c r="D11" s="755"/>
      <c r="E11" s="560">
        <f>SUM(E8:E10)</f>
        <v>0</v>
      </c>
      <c r="F11" s="560">
        <f t="shared" ref="F11:I11" si="0">SUM(F8:F10)</f>
        <v>0</v>
      </c>
      <c r="G11" s="560">
        <f t="shared" si="0"/>
        <v>250613.38981231843</v>
      </c>
      <c r="H11" s="560">
        <f t="shared" si="0"/>
        <v>244709.20141068869</v>
      </c>
      <c r="I11" s="560">
        <f t="shared" si="0"/>
        <v>1462673.5436561753</v>
      </c>
    </row>
    <row r="13" spans="3:9" ht="31.5" customHeight="1" x14ac:dyDescent="0.25">
      <c r="C13" s="756" t="s">
        <v>1580</v>
      </c>
      <c r="D13" s="756"/>
      <c r="E13" s="757" t="s">
        <v>17</v>
      </c>
      <c r="F13" s="757"/>
      <c r="G13" s="757"/>
      <c r="H13" s="757"/>
      <c r="I13" s="757"/>
    </row>
    <row r="14" spans="3:9" ht="31.5" customHeight="1" x14ac:dyDescent="0.25">
      <c r="C14" s="756"/>
      <c r="D14" s="756"/>
      <c r="E14" s="559" t="s">
        <v>41</v>
      </c>
      <c r="F14" s="559" t="s">
        <v>42</v>
      </c>
      <c r="G14" s="559" t="s">
        <v>43</v>
      </c>
      <c r="H14" s="559" t="s">
        <v>44</v>
      </c>
      <c r="I14" s="559" t="s">
        <v>986</v>
      </c>
    </row>
    <row r="15" spans="3:9" ht="31.5" customHeight="1" x14ac:dyDescent="0.25">
      <c r="C15" s="754" t="s">
        <v>1011</v>
      </c>
      <c r="D15" s="755"/>
      <c r="E15" s="561">
        <v>0</v>
      </c>
      <c r="F15" s="561">
        <v>1309339501.34077</v>
      </c>
      <c r="G15" s="561">
        <v>1309339501.34077</v>
      </c>
      <c r="H15" s="561">
        <v>1309339501.34077</v>
      </c>
      <c r="I15" s="561">
        <v>1309339501.34077</v>
      </c>
    </row>
    <row r="16" spans="3:9" ht="31.5" customHeight="1" x14ac:dyDescent="0.25">
      <c r="C16" s="754" t="s">
        <v>1012</v>
      </c>
      <c r="D16" s="755"/>
      <c r="E16" s="561">
        <v>0</v>
      </c>
      <c r="F16" s="561">
        <v>0</v>
      </c>
      <c r="G16" s="561">
        <v>7699218412.9554663</v>
      </c>
      <c r="H16" s="561">
        <v>7699218412.9554663</v>
      </c>
      <c r="I16" s="561">
        <v>7699218412.9554663</v>
      </c>
    </row>
    <row r="17" spans="3:9" ht="31.5" customHeight="1" x14ac:dyDescent="0.25">
      <c r="C17" s="754" t="s">
        <v>8</v>
      </c>
      <c r="D17" s="755"/>
      <c r="E17" s="561">
        <f>SUM(E15:E16)</f>
        <v>0</v>
      </c>
      <c r="F17" s="561">
        <f t="shared" ref="F17:I17" si="1">SUM(F15:F16)</f>
        <v>1309339501.34077</v>
      </c>
      <c r="G17" s="561">
        <f t="shared" si="1"/>
        <v>9008557914.296236</v>
      </c>
      <c r="H17" s="561">
        <f t="shared" si="1"/>
        <v>9008557914.296236</v>
      </c>
      <c r="I17" s="561">
        <f t="shared" si="1"/>
        <v>9008557914.296236</v>
      </c>
    </row>
  </sheetData>
  <mergeCells count="11">
    <mergeCell ref="C10:D10"/>
    <mergeCell ref="C11:D11"/>
    <mergeCell ref="E6:I6"/>
    <mergeCell ref="C6:D7"/>
    <mergeCell ref="C8:D8"/>
    <mergeCell ref="C9:D9"/>
    <mergeCell ref="C17:D17"/>
    <mergeCell ref="C13:D14"/>
    <mergeCell ref="E13:I13"/>
    <mergeCell ref="C15:D15"/>
    <mergeCell ref="C16:D1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AB77"/>
  <sheetViews>
    <sheetView showGridLines="0" tabSelected="1" topLeftCell="A47" zoomScale="68" zoomScaleNormal="68" workbookViewId="0">
      <selection activeCell="M16" sqref="M16"/>
    </sheetView>
  </sheetViews>
  <sheetFormatPr baseColWidth="10" defaultRowHeight="12.75" outlineLevelCol="1" x14ac:dyDescent="0.25"/>
  <cols>
    <col min="1" max="1" width="57.42578125" style="3" bestFit="1" customWidth="1"/>
    <col min="2" max="2" width="35" style="5" customWidth="1"/>
    <col min="3" max="3" width="18.85546875" style="3" customWidth="1"/>
    <col min="4" max="4" width="18.5703125" style="3" bestFit="1" customWidth="1"/>
    <col min="5" max="5" width="19.42578125" style="3" customWidth="1"/>
    <col min="6" max="6" width="21.140625" style="3" customWidth="1"/>
    <col min="7" max="7" width="20.7109375" style="3" customWidth="1"/>
    <col min="8" max="8" width="16.7109375" style="3" bestFit="1" customWidth="1"/>
    <col min="9" max="9" width="30.140625" style="3" customWidth="1"/>
    <col min="10" max="10" width="16.5703125" style="3" bestFit="1" customWidth="1"/>
    <col min="11" max="12" width="15.7109375" style="3" bestFit="1" customWidth="1" outlineLevel="1"/>
    <col min="13" max="13" width="16.140625" style="3" bestFit="1" customWidth="1" outlineLevel="1"/>
    <col min="14" max="27" width="8.7109375" style="3" customWidth="1" outlineLevel="1"/>
    <col min="28" max="28" width="13.42578125" style="15" bestFit="1" customWidth="1"/>
    <col min="29" max="16384" width="11.42578125" style="3"/>
  </cols>
  <sheetData>
    <row r="2" spans="1:5" ht="12.75" customHeight="1" x14ac:dyDescent="0.25">
      <c r="A2" s="2" t="s">
        <v>0</v>
      </c>
      <c r="B2" s="607" t="str">
        <f>'Beneficios Peaje'!C15</f>
        <v>PROYECTO DE MEJORA DE LA CALIDAD DEL SERVICIO DE ENERGÍA ELÉCTRICA Y DE LOS ÍNDICES DE CONFIABILIDAD A LOS USUARIOS DEL NORTE DEL CAUCA A TRAVÉS DEL CAMBIO DE LA TOPOLOGÍA DE LA RED</v>
      </c>
      <c r="C2" s="607"/>
    </row>
    <row r="3" spans="1:5" x14ac:dyDescent="0.25">
      <c r="B3" s="607"/>
      <c r="C3" s="607"/>
    </row>
    <row r="4" spans="1:5" x14ac:dyDescent="0.25">
      <c r="B4" s="607"/>
      <c r="C4" s="607"/>
    </row>
    <row r="5" spans="1:5" x14ac:dyDescent="0.25">
      <c r="B5" s="607"/>
      <c r="C5" s="607"/>
    </row>
    <row r="6" spans="1:5" x14ac:dyDescent="0.25">
      <c r="B6" s="607"/>
      <c r="C6" s="607"/>
    </row>
    <row r="7" spans="1:5" x14ac:dyDescent="0.25">
      <c r="B7" s="607"/>
      <c r="C7" s="607"/>
    </row>
    <row r="8" spans="1:5" x14ac:dyDescent="0.25">
      <c r="B8" s="607"/>
      <c r="C8" s="607"/>
    </row>
    <row r="9" spans="1:5" x14ac:dyDescent="0.25">
      <c r="B9" s="607"/>
      <c r="C9" s="607"/>
    </row>
    <row r="10" spans="1:5" x14ac:dyDescent="0.25">
      <c r="B10" s="607"/>
      <c r="C10" s="607"/>
    </row>
    <row r="11" spans="1:5" x14ac:dyDescent="0.25">
      <c r="B11" s="607"/>
      <c r="C11" s="607"/>
    </row>
    <row r="13" spans="1:5" ht="31.5" customHeight="1" thickBot="1" x14ac:dyDescent="0.3">
      <c r="A13" s="608" t="s">
        <v>12</v>
      </c>
      <c r="B13" s="609"/>
    </row>
    <row r="14" spans="1:5" x14ac:dyDescent="0.25">
      <c r="A14" s="28" t="s">
        <v>1</v>
      </c>
      <c r="B14" s="29">
        <v>1</v>
      </c>
      <c r="E14" s="6"/>
    </row>
    <row r="15" spans="1:5" x14ac:dyDescent="0.25">
      <c r="A15" s="30" t="s">
        <v>2</v>
      </c>
      <c r="B15" s="31">
        <v>0.13900000000000001</v>
      </c>
      <c r="C15" s="43"/>
    </row>
    <row r="16" spans="1:5" ht="13.5" thickBot="1" x14ac:dyDescent="0.3">
      <c r="A16" s="32" t="s">
        <v>3</v>
      </c>
      <c r="B16" s="40">
        <v>2.1999999999999999E-2</v>
      </c>
    </row>
    <row r="17" spans="1:28" ht="13.5" thickBot="1" x14ac:dyDescent="0.3">
      <c r="B17" s="4"/>
    </row>
    <row r="18" spans="1:28" x14ac:dyDescent="0.25">
      <c r="A18" s="33" t="s">
        <v>18</v>
      </c>
      <c r="B18" s="34"/>
      <c r="C18" s="116"/>
    </row>
    <row r="19" spans="1:28" x14ac:dyDescent="0.25">
      <c r="A19" s="35" t="s">
        <v>37</v>
      </c>
      <c r="B19" s="355">
        <f>C40+NPV(B15,D40:AA40)</f>
        <v>337.19467782462817</v>
      </c>
    </row>
    <row r="20" spans="1:28" x14ac:dyDescent="0.25">
      <c r="A20" s="35" t="s">
        <v>39</v>
      </c>
      <c r="B20" s="37">
        <f>IFERROR(IRR(C40:AA40),"No retorno")</f>
        <v>1.630129595533711</v>
      </c>
    </row>
    <row r="21" spans="1:28" x14ac:dyDescent="0.25">
      <c r="A21" s="35" t="s">
        <v>40</v>
      </c>
      <c r="B21" s="38">
        <f>IFERROR((C39+NPV(B15,D39:AA39))/(C33+NPV(B15,D33:AA33)),"No hay beneficio")</f>
        <v>1.2639073039444668</v>
      </c>
    </row>
    <row r="22" spans="1:28" ht="13.5" thickBot="1" x14ac:dyDescent="0.3">
      <c r="A22" s="36" t="s">
        <v>48</v>
      </c>
      <c r="B22" s="39">
        <f>AB42</f>
        <v>5</v>
      </c>
      <c r="C22" s="15"/>
    </row>
    <row r="23" spans="1:28" x14ac:dyDescent="0.25">
      <c r="C23" s="15"/>
    </row>
    <row r="25" spans="1:28" ht="14.25" x14ac:dyDescent="0.25">
      <c r="A25" s="610" t="s">
        <v>11</v>
      </c>
      <c r="B25" s="611"/>
      <c r="C25" s="611"/>
      <c r="D25" s="611"/>
      <c r="E25" s="611"/>
      <c r="F25" s="611"/>
      <c r="G25" s="611"/>
      <c r="H25" s="611"/>
      <c r="I25" s="611"/>
      <c r="J25" s="611"/>
      <c r="K25" s="611"/>
      <c r="L25" s="611"/>
      <c r="M25" s="611"/>
      <c r="N25" s="611"/>
      <c r="O25" s="611"/>
      <c r="P25" s="611"/>
      <c r="Q25" s="611"/>
      <c r="R25" s="611"/>
      <c r="S25" s="611"/>
      <c r="T25" s="611"/>
      <c r="U25" s="611"/>
      <c r="V25" s="611"/>
      <c r="W25" s="611"/>
      <c r="X25" s="611"/>
      <c r="Y25" s="611"/>
      <c r="Z25" s="611"/>
      <c r="AA25" s="611"/>
      <c r="AB25" s="612"/>
    </row>
    <row r="26" spans="1:28" s="7" customFormat="1" x14ac:dyDescent="0.25">
      <c r="A26" s="613" t="s">
        <v>1529</v>
      </c>
      <c r="B26" s="613"/>
      <c r="C26" s="615" t="s">
        <v>47</v>
      </c>
      <c r="D26" s="616"/>
      <c r="E26" s="616"/>
      <c r="F26" s="616"/>
      <c r="G26" s="616"/>
      <c r="H26" s="616"/>
      <c r="I26" s="616"/>
      <c r="J26" s="616"/>
      <c r="K26" s="616"/>
      <c r="L26" s="616"/>
      <c r="M26" s="616"/>
      <c r="N26" s="616"/>
      <c r="O26" s="616"/>
      <c r="P26" s="616"/>
      <c r="Q26" s="616"/>
      <c r="R26" s="616"/>
      <c r="S26" s="616"/>
      <c r="T26" s="616"/>
      <c r="U26" s="616"/>
      <c r="V26" s="616"/>
      <c r="W26" s="616"/>
      <c r="X26" s="616"/>
      <c r="Y26" s="616"/>
      <c r="Z26" s="616"/>
      <c r="AA26" s="617"/>
      <c r="AB26" s="618" t="s">
        <v>8</v>
      </c>
    </row>
    <row r="27" spans="1:28" s="7" customFormat="1" x14ac:dyDescent="0.25">
      <c r="A27" s="614"/>
      <c r="B27" s="614"/>
      <c r="C27" s="1">
        <v>1</v>
      </c>
      <c r="D27" s="1">
        <v>2</v>
      </c>
      <c r="E27" s="1">
        <v>3</v>
      </c>
      <c r="F27" s="1">
        <v>4</v>
      </c>
      <c r="G27" s="1">
        <v>5</v>
      </c>
      <c r="H27" s="1">
        <v>6</v>
      </c>
      <c r="I27" s="1">
        <v>7</v>
      </c>
      <c r="J27" s="1">
        <v>8</v>
      </c>
      <c r="K27" s="1">
        <v>9</v>
      </c>
      <c r="L27" s="1">
        <v>10</v>
      </c>
      <c r="M27" s="1">
        <v>11</v>
      </c>
      <c r="N27" s="1">
        <v>12</v>
      </c>
      <c r="O27" s="1">
        <v>13</v>
      </c>
      <c r="P27" s="1">
        <v>14</v>
      </c>
      <c r="Q27" s="1">
        <v>15</v>
      </c>
      <c r="R27" s="1">
        <v>16</v>
      </c>
      <c r="S27" s="1">
        <v>17</v>
      </c>
      <c r="T27" s="1">
        <v>18</v>
      </c>
      <c r="U27" s="1">
        <v>19</v>
      </c>
      <c r="V27" s="1">
        <v>20</v>
      </c>
      <c r="W27" s="1">
        <v>21</v>
      </c>
      <c r="X27" s="1">
        <v>22</v>
      </c>
      <c r="Y27" s="1">
        <v>23</v>
      </c>
      <c r="Z27" s="1">
        <v>24</v>
      </c>
      <c r="AA27" s="1">
        <v>25</v>
      </c>
      <c r="AB27" s="619"/>
    </row>
    <row r="28" spans="1:28" s="7" customFormat="1" ht="25.5" customHeight="1" x14ac:dyDescent="0.25">
      <c r="A28" s="620" t="s">
        <v>24</v>
      </c>
      <c r="B28" s="362" t="s">
        <v>1534</v>
      </c>
      <c r="C28" s="20"/>
      <c r="D28" s="20"/>
      <c r="E28" s="20"/>
      <c r="F28" s="20"/>
      <c r="G28" s="20"/>
      <c r="H28" s="20"/>
      <c r="I28" s="20"/>
      <c r="J28" s="20"/>
      <c r="K28" s="20"/>
      <c r="L28" s="20"/>
      <c r="M28" s="20"/>
      <c r="N28" s="20"/>
      <c r="O28" s="20"/>
      <c r="P28" s="20"/>
      <c r="Q28" s="20"/>
      <c r="R28" s="20"/>
      <c r="S28" s="20"/>
      <c r="T28" s="20"/>
      <c r="U28" s="20"/>
      <c r="V28" s="20"/>
      <c r="W28" s="20"/>
      <c r="X28" s="20"/>
      <c r="Y28" s="20"/>
      <c r="Z28" s="20"/>
      <c r="AA28" s="104"/>
      <c r="AB28" s="186">
        <f>C28+NPV($B$15,D28:AA28)</f>
        <v>0</v>
      </c>
    </row>
    <row r="29" spans="1:28" s="7" customFormat="1" ht="25.5" customHeight="1" x14ac:dyDescent="0.25">
      <c r="A29" s="621"/>
      <c r="B29" s="362" t="s">
        <v>1485</v>
      </c>
      <c r="C29" s="20"/>
      <c r="D29" s="20"/>
      <c r="E29" s="20">
        <f>SUM(E73:E75)/1000000</f>
        <v>0</v>
      </c>
      <c r="F29" s="20">
        <f>SUM(F73:F75)/1000000</f>
        <v>0</v>
      </c>
      <c r="G29" s="20">
        <v>0</v>
      </c>
      <c r="H29" s="20">
        <f>G29</f>
        <v>0</v>
      </c>
      <c r="I29" s="20">
        <f t="shared" ref="I29:Z29" si="0">H29</f>
        <v>0</v>
      </c>
      <c r="J29" s="20">
        <f t="shared" si="0"/>
        <v>0</v>
      </c>
      <c r="K29" s="20">
        <f t="shared" si="0"/>
        <v>0</v>
      </c>
      <c r="L29" s="20">
        <f t="shared" si="0"/>
        <v>0</v>
      </c>
      <c r="M29" s="20">
        <f t="shared" si="0"/>
        <v>0</v>
      </c>
      <c r="N29" s="20">
        <f t="shared" si="0"/>
        <v>0</v>
      </c>
      <c r="O29" s="20">
        <f t="shared" si="0"/>
        <v>0</v>
      </c>
      <c r="P29" s="20">
        <f t="shared" si="0"/>
        <v>0</v>
      </c>
      <c r="Q29" s="20">
        <f t="shared" si="0"/>
        <v>0</v>
      </c>
      <c r="R29" s="20">
        <f t="shared" si="0"/>
        <v>0</v>
      </c>
      <c r="S29" s="20">
        <f t="shared" si="0"/>
        <v>0</v>
      </c>
      <c r="T29" s="20">
        <f t="shared" si="0"/>
        <v>0</v>
      </c>
      <c r="U29" s="20">
        <f t="shared" si="0"/>
        <v>0</v>
      </c>
      <c r="V29" s="20">
        <f t="shared" si="0"/>
        <v>0</v>
      </c>
      <c r="W29" s="20">
        <f t="shared" si="0"/>
        <v>0</v>
      </c>
      <c r="X29" s="20">
        <f t="shared" si="0"/>
        <v>0</v>
      </c>
      <c r="Y29" s="20">
        <f t="shared" si="0"/>
        <v>0</v>
      </c>
      <c r="Z29" s="20">
        <f t="shared" si="0"/>
        <v>0</v>
      </c>
      <c r="AA29" s="104">
        <f>Z29</f>
        <v>0</v>
      </c>
      <c r="AB29" s="186">
        <f>C29+NPV($B$15,D29:AA29)</f>
        <v>0</v>
      </c>
    </row>
    <row r="30" spans="1:28" s="7" customFormat="1" ht="25.5" customHeight="1" x14ac:dyDescent="0.25">
      <c r="A30" s="621"/>
      <c r="B30" s="363" t="s">
        <v>1535</v>
      </c>
      <c r="C30" s="20"/>
      <c r="D30" s="20"/>
      <c r="E30" s="20"/>
      <c r="F30" s="20"/>
      <c r="G30" s="20"/>
      <c r="H30" s="20"/>
      <c r="I30" s="20"/>
      <c r="J30" s="20"/>
      <c r="K30" s="20"/>
      <c r="L30" s="20"/>
      <c r="M30" s="20"/>
      <c r="N30" s="20"/>
      <c r="O30" s="20">
        <f t="shared" ref="O30:AA30" si="1">O76/1000000</f>
        <v>0</v>
      </c>
      <c r="P30" s="20">
        <f t="shared" si="1"/>
        <v>0</v>
      </c>
      <c r="Q30" s="20">
        <f t="shared" si="1"/>
        <v>0</v>
      </c>
      <c r="R30" s="20">
        <f t="shared" si="1"/>
        <v>0</v>
      </c>
      <c r="S30" s="20">
        <f t="shared" si="1"/>
        <v>0</v>
      </c>
      <c r="T30" s="20">
        <f t="shared" si="1"/>
        <v>0</v>
      </c>
      <c r="U30" s="20">
        <f t="shared" si="1"/>
        <v>0</v>
      </c>
      <c r="V30" s="20">
        <f t="shared" si="1"/>
        <v>0</v>
      </c>
      <c r="W30" s="20">
        <f t="shared" si="1"/>
        <v>0</v>
      </c>
      <c r="X30" s="20">
        <f t="shared" si="1"/>
        <v>0</v>
      </c>
      <c r="Y30" s="20">
        <f t="shared" si="1"/>
        <v>0</v>
      </c>
      <c r="Z30" s="20">
        <f t="shared" si="1"/>
        <v>0</v>
      </c>
      <c r="AA30" s="20">
        <f t="shared" si="1"/>
        <v>0</v>
      </c>
      <c r="AB30" s="186">
        <f>C30+NPV($B$15,D30:AA30)</f>
        <v>0</v>
      </c>
    </row>
    <row r="31" spans="1:28" s="7" customFormat="1" ht="25.5" customHeight="1" x14ac:dyDescent="0.25">
      <c r="A31" s="621"/>
      <c r="B31" s="363" t="s">
        <v>1560</v>
      </c>
      <c r="C31" s="20">
        <v>0</v>
      </c>
      <c r="D31" s="20">
        <v>0</v>
      </c>
      <c r="E31" s="20">
        <v>0</v>
      </c>
      <c r="F31" s="20">
        <v>50</v>
      </c>
      <c r="G31" s="20">
        <f>F31</f>
        <v>50</v>
      </c>
      <c r="H31" s="20">
        <f t="shared" ref="H31:AA31" si="2">G31</f>
        <v>50</v>
      </c>
      <c r="I31" s="20">
        <f t="shared" si="2"/>
        <v>50</v>
      </c>
      <c r="J31" s="20">
        <f t="shared" si="2"/>
        <v>50</v>
      </c>
      <c r="K31" s="20">
        <f t="shared" si="2"/>
        <v>50</v>
      </c>
      <c r="L31" s="20">
        <f t="shared" si="2"/>
        <v>50</v>
      </c>
      <c r="M31" s="20">
        <f t="shared" si="2"/>
        <v>50</v>
      </c>
      <c r="N31" s="20">
        <f t="shared" si="2"/>
        <v>50</v>
      </c>
      <c r="O31" s="20">
        <f t="shared" si="2"/>
        <v>50</v>
      </c>
      <c r="P31" s="20">
        <f t="shared" si="2"/>
        <v>50</v>
      </c>
      <c r="Q31" s="20">
        <f t="shared" si="2"/>
        <v>50</v>
      </c>
      <c r="R31" s="20">
        <f t="shared" si="2"/>
        <v>50</v>
      </c>
      <c r="S31" s="20">
        <f t="shared" si="2"/>
        <v>50</v>
      </c>
      <c r="T31" s="20">
        <f t="shared" si="2"/>
        <v>50</v>
      </c>
      <c r="U31" s="20">
        <f t="shared" si="2"/>
        <v>50</v>
      </c>
      <c r="V31" s="20">
        <f t="shared" si="2"/>
        <v>50</v>
      </c>
      <c r="W31" s="20">
        <f t="shared" si="2"/>
        <v>50</v>
      </c>
      <c r="X31" s="20">
        <f t="shared" si="2"/>
        <v>50</v>
      </c>
      <c r="Y31" s="20">
        <f t="shared" si="2"/>
        <v>50</v>
      </c>
      <c r="Z31" s="20">
        <f t="shared" si="2"/>
        <v>50</v>
      </c>
      <c r="AA31" s="20">
        <f t="shared" si="2"/>
        <v>50</v>
      </c>
      <c r="AB31" s="207"/>
    </row>
    <row r="32" spans="1:28" s="7" customFormat="1" ht="25.5" customHeight="1" x14ac:dyDescent="0.25">
      <c r="A32" s="621"/>
      <c r="B32" s="364" t="s">
        <v>4</v>
      </c>
      <c r="C32" s="20"/>
      <c r="D32" s="20"/>
      <c r="E32" s="20">
        <f>E35</f>
        <v>169.38280508502027</v>
      </c>
      <c r="F32" s="20">
        <f t="shared" ref="F32:AA32" si="3">F35</f>
        <v>169.38280508502027</v>
      </c>
      <c r="G32" s="20">
        <f t="shared" si="3"/>
        <v>169.38280508502027</v>
      </c>
      <c r="H32" s="20">
        <f t="shared" si="3"/>
        <v>169.38280508502027</v>
      </c>
      <c r="I32" s="20">
        <f t="shared" si="3"/>
        <v>169.38280508502027</v>
      </c>
      <c r="J32" s="20">
        <f t="shared" si="3"/>
        <v>169.38280508502027</v>
      </c>
      <c r="K32" s="20">
        <f t="shared" si="3"/>
        <v>169.38280508502027</v>
      </c>
      <c r="L32" s="20">
        <f t="shared" si="3"/>
        <v>169.38280508502027</v>
      </c>
      <c r="M32" s="20">
        <f t="shared" si="3"/>
        <v>169.38280508502027</v>
      </c>
      <c r="N32" s="20">
        <f t="shared" si="3"/>
        <v>169.38280508502027</v>
      </c>
      <c r="O32" s="20">
        <f t="shared" si="3"/>
        <v>169.38280508502027</v>
      </c>
      <c r="P32" s="20">
        <f t="shared" si="3"/>
        <v>169.38280508502027</v>
      </c>
      <c r="Q32" s="20">
        <f t="shared" si="3"/>
        <v>169.38280508502027</v>
      </c>
      <c r="R32" s="20">
        <f t="shared" si="3"/>
        <v>169.38280508502027</v>
      </c>
      <c r="S32" s="20">
        <f t="shared" si="3"/>
        <v>169.38280508502027</v>
      </c>
      <c r="T32" s="20">
        <f t="shared" si="3"/>
        <v>169.38280508502027</v>
      </c>
      <c r="U32" s="20">
        <f t="shared" si="3"/>
        <v>169.38280508502027</v>
      </c>
      <c r="V32" s="20">
        <f t="shared" si="3"/>
        <v>169.38280508502027</v>
      </c>
      <c r="W32" s="20">
        <f t="shared" si="3"/>
        <v>169.38280508502027</v>
      </c>
      <c r="X32" s="20">
        <f t="shared" si="3"/>
        <v>169.38280508502027</v>
      </c>
      <c r="Y32" s="20">
        <f t="shared" si="3"/>
        <v>169.38280508502027</v>
      </c>
      <c r="Z32" s="20">
        <f t="shared" si="3"/>
        <v>169.38280508502027</v>
      </c>
      <c r="AA32" s="20">
        <f t="shared" si="3"/>
        <v>169.38280508502027</v>
      </c>
      <c r="AB32" s="187">
        <f t="shared" ref="AB32:AB40" si="4">C32+NPV($B$15,D32:AA32)</f>
        <v>1157.514010740467</v>
      </c>
    </row>
    <row r="33" spans="1:28" s="7" customFormat="1" ht="25.5" customHeight="1" x14ac:dyDescent="0.25">
      <c r="A33" s="622"/>
      <c r="B33" s="365" t="s">
        <v>25</v>
      </c>
      <c r="C33" s="21">
        <f>SUM(C28:C32)</f>
        <v>0</v>
      </c>
      <c r="D33" s="21">
        <f t="shared" ref="D33:AA33" si="5">SUM(D29:D32)</f>
        <v>0</v>
      </c>
      <c r="E33" s="21">
        <f t="shared" si="5"/>
        <v>169.38280508502027</v>
      </c>
      <c r="F33" s="21">
        <f t="shared" si="5"/>
        <v>219.38280508502027</v>
      </c>
      <c r="G33" s="21">
        <f t="shared" si="5"/>
        <v>219.38280508502027</v>
      </c>
      <c r="H33" s="21">
        <f t="shared" si="5"/>
        <v>219.38280508502027</v>
      </c>
      <c r="I33" s="21">
        <f t="shared" si="5"/>
        <v>219.38280508502027</v>
      </c>
      <c r="J33" s="21">
        <f t="shared" si="5"/>
        <v>219.38280508502027</v>
      </c>
      <c r="K33" s="21">
        <f t="shared" si="5"/>
        <v>219.38280508502027</v>
      </c>
      <c r="L33" s="21">
        <f t="shared" si="5"/>
        <v>219.38280508502027</v>
      </c>
      <c r="M33" s="21">
        <f t="shared" si="5"/>
        <v>219.38280508502027</v>
      </c>
      <c r="N33" s="21">
        <f t="shared" si="5"/>
        <v>219.38280508502027</v>
      </c>
      <c r="O33" s="21">
        <f t="shared" si="5"/>
        <v>219.38280508502027</v>
      </c>
      <c r="P33" s="21">
        <f t="shared" si="5"/>
        <v>219.38280508502027</v>
      </c>
      <c r="Q33" s="21">
        <f t="shared" si="5"/>
        <v>219.38280508502027</v>
      </c>
      <c r="R33" s="21">
        <f t="shared" si="5"/>
        <v>219.38280508502027</v>
      </c>
      <c r="S33" s="21">
        <f t="shared" si="5"/>
        <v>219.38280508502027</v>
      </c>
      <c r="T33" s="21">
        <f t="shared" si="5"/>
        <v>219.38280508502027</v>
      </c>
      <c r="U33" s="21">
        <f t="shared" si="5"/>
        <v>219.38280508502027</v>
      </c>
      <c r="V33" s="21">
        <f t="shared" si="5"/>
        <v>219.38280508502027</v>
      </c>
      <c r="W33" s="21">
        <f t="shared" si="5"/>
        <v>219.38280508502027</v>
      </c>
      <c r="X33" s="21">
        <f t="shared" si="5"/>
        <v>219.38280508502027</v>
      </c>
      <c r="Y33" s="21">
        <f t="shared" si="5"/>
        <v>219.38280508502027</v>
      </c>
      <c r="Z33" s="21">
        <f t="shared" si="5"/>
        <v>219.38280508502027</v>
      </c>
      <c r="AA33" s="105">
        <f t="shared" si="5"/>
        <v>219.38280508502027</v>
      </c>
      <c r="AB33" s="188">
        <f t="shared" si="4"/>
        <v>1277.7011957788891</v>
      </c>
    </row>
    <row r="34" spans="1:28" s="7" customFormat="1" ht="25.5" customHeight="1" x14ac:dyDescent="0.25">
      <c r="A34" s="623" t="s">
        <v>23</v>
      </c>
      <c r="B34" s="84" t="s">
        <v>1413</v>
      </c>
      <c r="C34" s="20">
        <v>0</v>
      </c>
      <c r="D34" s="20">
        <v>0</v>
      </c>
      <c r="E34" s="20">
        <v>0</v>
      </c>
      <c r="F34" s="20">
        <v>0</v>
      </c>
      <c r="G34" s="20">
        <f>526.025919601075/4</f>
        <v>131.50647990026874</v>
      </c>
      <c r="H34" s="20">
        <f>G34</f>
        <v>131.50647990026874</v>
      </c>
      <c r="I34" s="20">
        <f t="shared" ref="I34:AA34" si="6">H34</f>
        <v>131.50647990026874</v>
      </c>
      <c r="J34" s="20">
        <f t="shared" si="6"/>
        <v>131.50647990026874</v>
      </c>
      <c r="K34" s="20">
        <f t="shared" si="6"/>
        <v>131.50647990026874</v>
      </c>
      <c r="L34" s="20">
        <f t="shared" si="6"/>
        <v>131.50647990026874</v>
      </c>
      <c r="M34" s="20">
        <f t="shared" si="6"/>
        <v>131.50647990026874</v>
      </c>
      <c r="N34" s="20">
        <f t="shared" si="6"/>
        <v>131.50647990026874</v>
      </c>
      <c r="O34" s="20">
        <f t="shared" si="6"/>
        <v>131.50647990026874</v>
      </c>
      <c r="P34" s="20">
        <f t="shared" si="6"/>
        <v>131.50647990026874</v>
      </c>
      <c r="Q34" s="20">
        <f t="shared" si="6"/>
        <v>131.50647990026874</v>
      </c>
      <c r="R34" s="20">
        <f t="shared" si="6"/>
        <v>131.50647990026874</v>
      </c>
      <c r="S34" s="20">
        <f t="shared" si="6"/>
        <v>131.50647990026874</v>
      </c>
      <c r="T34" s="20">
        <f t="shared" si="6"/>
        <v>131.50647990026874</v>
      </c>
      <c r="U34" s="20">
        <f t="shared" si="6"/>
        <v>131.50647990026874</v>
      </c>
      <c r="V34" s="20">
        <f t="shared" si="6"/>
        <v>131.50647990026874</v>
      </c>
      <c r="W34" s="20">
        <f t="shared" si="6"/>
        <v>131.50647990026874</v>
      </c>
      <c r="X34" s="20">
        <f t="shared" si="6"/>
        <v>131.50647990026874</v>
      </c>
      <c r="Y34" s="20">
        <f t="shared" si="6"/>
        <v>131.50647990026874</v>
      </c>
      <c r="Z34" s="20">
        <f t="shared" si="6"/>
        <v>131.50647990026874</v>
      </c>
      <c r="AA34" s="20">
        <f t="shared" si="6"/>
        <v>131.50647990026874</v>
      </c>
      <c r="AB34" s="190">
        <f t="shared" si="4"/>
        <v>598.64125486737407</v>
      </c>
    </row>
    <row r="35" spans="1:28" s="7" customFormat="1" ht="25.5" customHeight="1" x14ac:dyDescent="0.25">
      <c r="A35" s="624"/>
      <c r="B35" s="42" t="s">
        <v>6</v>
      </c>
      <c r="C35" s="20"/>
      <c r="D35" s="20"/>
      <c r="E35" s="20">
        <f>+(B16*Evaluación!E35)/Evaluación!B16</f>
        <v>169.38280508502027</v>
      </c>
      <c r="F35" s="20">
        <f>E35</f>
        <v>169.38280508502027</v>
      </c>
      <c r="G35" s="20">
        <f t="shared" ref="G35:AA35" si="7">F35</f>
        <v>169.38280508502027</v>
      </c>
      <c r="H35" s="20">
        <f t="shared" si="7"/>
        <v>169.38280508502027</v>
      </c>
      <c r="I35" s="20">
        <f t="shared" si="7"/>
        <v>169.38280508502027</v>
      </c>
      <c r="J35" s="20">
        <f t="shared" si="7"/>
        <v>169.38280508502027</v>
      </c>
      <c r="K35" s="20">
        <f t="shared" si="7"/>
        <v>169.38280508502027</v>
      </c>
      <c r="L35" s="20">
        <f t="shared" si="7"/>
        <v>169.38280508502027</v>
      </c>
      <c r="M35" s="20">
        <f t="shared" si="7"/>
        <v>169.38280508502027</v>
      </c>
      <c r="N35" s="20">
        <f t="shared" si="7"/>
        <v>169.38280508502027</v>
      </c>
      <c r="O35" s="20">
        <f t="shared" si="7"/>
        <v>169.38280508502027</v>
      </c>
      <c r="P35" s="20">
        <f t="shared" si="7"/>
        <v>169.38280508502027</v>
      </c>
      <c r="Q35" s="20">
        <f t="shared" si="7"/>
        <v>169.38280508502027</v>
      </c>
      <c r="R35" s="20">
        <f t="shared" si="7"/>
        <v>169.38280508502027</v>
      </c>
      <c r="S35" s="20">
        <f t="shared" si="7"/>
        <v>169.38280508502027</v>
      </c>
      <c r="T35" s="20">
        <f t="shared" si="7"/>
        <v>169.38280508502027</v>
      </c>
      <c r="U35" s="20">
        <f t="shared" si="7"/>
        <v>169.38280508502027</v>
      </c>
      <c r="V35" s="20">
        <f t="shared" si="7"/>
        <v>169.38280508502027</v>
      </c>
      <c r="W35" s="20">
        <f t="shared" si="7"/>
        <v>169.38280508502027</v>
      </c>
      <c r="X35" s="20">
        <f t="shared" si="7"/>
        <v>169.38280508502027</v>
      </c>
      <c r="Y35" s="20">
        <f t="shared" si="7"/>
        <v>169.38280508502027</v>
      </c>
      <c r="Z35" s="20">
        <f t="shared" si="7"/>
        <v>169.38280508502027</v>
      </c>
      <c r="AA35" s="20">
        <f t="shared" si="7"/>
        <v>169.38280508502027</v>
      </c>
      <c r="AB35" s="190">
        <f t="shared" si="4"/>
        <v>1157.514010740467</v>
      </c>
    </row>
    <row r="36" spans="1:28" s="7" customFormat="1" ht="25.5" customHeight="1" x14ac:dyDescent="0.25">
      <c r="A36" s="624"/>
      <c r="B36" s="42" t="s">
        <v>1536</v>
      </c>
      <c r="C36" s="20">
        <f>C67*$B$52/1000000</f>
        <v>0</v>
      </c>
      <c r="D36" s="20">
        <f>D67*$B$52/1000000</f>
        <v>0</v>
      </c>
      <c r="E36" s="20"/>
      <c r="F36" s="20"/>
      <c r="G36" s="20"/>
      <c r="H36" s="20">
        <f>G36</f>
        <v>0</v>
      </c>
      <c r="I36" s="20">
        <f t="shared" ref="I36:X38" si="8">H36</f>
        <v>0</v>
      </c>
      <c r="J36" s="20">
        <f t="shared" si="8"/>
        <v>0</v>
      </c>
      <c r="K36" s="20">
        <f t="shared" si="8"/>
        <v>0</v>
      </c>
      <c r="L36" s="20">
        <f t="shared" si="8"/>
        <v>0</v>
      </c>
      <c r="M36" s="20">
        <f t="shared" si="8"/>
        <v>0</v>
      </c>
      <c r="N36" s="20">
        <f t="shared" si="8"/>
        <v>0</v>
      </c>
      <c r="O36" s="20">
        <f t="shared" si="8"/>
        <v>0</v>
      </c>
      <c r="P36" s="20">
        <f t="shared" si="8"/>
        <v>0</v>
      </c>
      <c r="Q36" s="20">
        <f t="shared" si="8"/>
        <v>0</v>
      </c>
      <c r="R36" s="20">
        <f t="shared" si="8"/>
        <v>0</v>
      </c>
      <c r="S36" s="20">
        <f t="shared" si="8"/>
        <v>0</v>
      </c>
      <c r="T36" s="20">
        <f t="shared" si="8"/>
        <v>0</v>
      </c>
      <c r="U36" s="20">
        <f t="shared" si="8"/>
        <v>0</v>
      </c>
      <c r="V36" s="20">
        <f t="shared" si="8"/>
        <v>0</v>
      </c>
      <c r="W36" s="20">
        <f t="shared" si="8"/>
        <v>0</v>
      </c>
      <c r="X36" s="20">
        <f t="shared" si="8"/>
        <v>0</v>
      </c>
      <c r="Y36" s="20">
        <f t="shared" ref="Y36:AA38" si="9">X36</f>
        <v>0</v>
      </c>
      <c r="Z36" s="20">
        <f t="shared" si="9"/>
        <v>0</v>
      </c>
      <c r="AA36" s="104">
        <f t="shared" si="9"/>
        <v>0</v>
      </c>
      <c r="AB36" s="190">
        <f t="shared" si="4"/>
        <v>0</v>
      </c>
    </row>
    <row r="37" spans="1:28" s="7" customFormat="1" ht="25.5" customHeight="1" x14ac:dyDescent="0.25">
      <c r="A37" s="624"/>
      <c r="B37" s="42" t="s">
        <v>1463</v>
      </c>
      <c r="C37" s="20"/>
      <c r="D37" s="20">
        <v>0</v>
      </c>
      <c r="E37" s="20">
        <v>0</v>
      </c>
      <c r="F37" s="20">
        <v>0</v>
      </c>
      <c r="G37" s="20">
        <v>0</v>
      </c>
      <c r="H37" s="20">
        <f>G37</f>
        <v>0</v>
      </c>
      <c r="I37" s="20">
        <f t="shared" si="8"/>
        <v>0</v>
      </c>
      <c r="J37" s="20">
        <f t="shared" si="8"/>
        <v>0</v>
      </c>
      <c r="K37" s="20">
        <f t="shared" si="8"/>
        <v>0</v>
      </c>
      <c r="L37" s="20">
        <f t="shared" si="8"/>
        <v>0</v>
      </c>
      <c r="M37" s="20">
        <f t="shared" si="8"/>
        <v>0</v>
      </c>
      <c r="N37" s="20">
        <f t="shared" si="8"/>
        <v>0</v>
      </c>
      <c r="O37" s="20">
        <f t="shared" si="8"/>
        <v>0</v>
      </c>
      <c r="P37" s="20">
        <f t="shared" si="8"/>
        <v>0</v>
      </c>
      <c r="Q37" s="20">
        <f t="shared" si="8"/>
        <v>0</v>
      </c>
      <c r="R37" s="20">
        <f t="shared" si="8"/>
        <v>0</v>
      </c>
      <c r="S37" s="20">
        <f t="shared" si="8"/>
        <v>0</v>
      </c>
      <c r="T37" s="20">
        <f t="shared" si="8"/>
        <v>0</v>
      </c>
      <c r="U37" s="20">
        <f t="shared" si="8"/>
        <v>0</v>
      </c>
      <c r="V37" s="20">
        <f t="shared" si="8"/>
        <v>0</v>
      </c>
      <c r="W37" s="20">
        <f t="shared" si="8"/>
        <v>0</v>
      </c>
      <c r="X37" s="20">
        <f t="shared" si="8"/>
        <v>0</v>
      </c>
      <c r="Y37" s="20">
        <f t="shared" si="9"/>
        <v>0</v>
      </c>
      <c r="Z37" s="20">
        <f t="shared" si="9"/>
        <v>0</v>
      </c>
      <c r="AA37" s="20">
        <f t="shared" si="9"/>
        <v>0</v>
      </c>
      <c r="AB37" s="190">
        <f t="shared" si="4"/>
        <v>0</v>
      </c>
    </row>
    <row r="38" spans="1:28" s="7" customFormat="1" ht="25.5" customHeight="1" x14ac:dyDescent="0.25">
      <c r="A38" s="624"/>
      <c r="B38" s="84" t="s">
        <v>1414</v>
      </c>
      <c r="C38" s="205">
        <f>$B$53*C63/1000000</f>
        <v>0</v>
      </c>
      <c r="D38" s="205">
        <f>$B$53*D63/1000000</f>
        <v>0</v>
      </c>
      <c r="E38" s="205"/>
      <c r="F38" s="205"/>
      <c r="G38" s="205"/>
      <c r="H38" s="205">
        <f>G38</f>
        <v>0</v>
      </c>
      <c r="I38" s="205">
        <f t="shared" si="8"/>
        <v>0</v>
      </c>
      <c r="J38" s="205">
        <f t="shared" si="8"/>
        <v>0</v>
      </c>
      <c r="K38" s="205">
        <f t="shared" si="8"/>
        <v>0</v>
      </c>
      <c r="L38" s="205">
        <f t="shared" si="8"/>
        <v>0</v>
      </c>
      <c r="M38" s="205">
        <f t="shared" si="8"/>
        <v>0</v>
      </c>
      <c r="N38" s="205">
        <f t="shared" si="8"/>
        <v>0</v>
      </c>
      <c r="O38" s="205">
        <f t="shared" si="8"/>
        <v>0</v>
      </c>
      <c r="P38" s="205">
        <f t="shared" si="8"/>
        <v>0</v>
      </c>
      <c r="Q38" s="205">
        <f t="shared" si="8"/>
        <v>0</v>
      </c>
      <c r="R38" s="205">
        <f t="shared" si="8"/>
        <v>0</v>
      </c>
      <c r="S38" s="205">
        <f t="shared" si="8"/>
        <v>0</v>
      </c>
      <c r="T38" s="205">
        <f t="shared" si="8"/>
        <v>0</v>
      </c>
      <c r="U38" s="205">
        <f t="shared" si="8"/>
        <v>0</v>
      </c>
      <c r="V38" s="205">
        <f t="shared" si="8"/>
        <v>0</v>
      </c>
      <c r="W38" s="205">
        <f t="shared" si="8"/>
        <v>0</v>
      </c>
      <c r="X38" s="205">
        <f t="shared" si="8"/>
        <v>0</v>
      </c>
      <c r="Y38" s="205">
        <f t="shared" si="9"/>
        <v>0</v>
      </c>
      <c r="Z38" s="205">
        <f t="shared" si="9"/>
        <v>0</v>
      </c>
      <c r="AA38" s="206">
        <f t="shared" si="9"/>
        <v>0</v>
      </c>
      <c r="AB38" s="207">
        <f t="shared" si="4"/>
        <v>0</v>
      </c>
    </row>
    <row r="39" spans="1:28" s="7" customFormat="1" ht="25.5" customHeight="1" x14ac:dyDescent="0.25">
      <c r="A39" s="625"/>
      <c r="B39" s="17" t="s">
        <v>26</v>
      </c>
      <c r="C39" s="22">
        <f t="shared" ref="C39:AA39" si="10">SUM(C34:C38)</f>
        <v>0</v>
      </c>
      <c r="D39" s="22">
        <f t="shared" si="10"/>
        <v>0</v>
      </c>
      <c r="E39" s="22">
        <f t="shared" si="10"/>
        <v>169.38280508502027</v>
      </c>
      <c r="F39" s="22">
        <f t="shared" si="10"/>
        <v>169.38280508502027</v>
      </c>
      <c r="G39" s="22">
        <f t="shared" si="10"/>
        <v>300.88928498528901</v>
      </c>
      <c r="H39" s="22">
        <f t="shared" si="10"/>
        <v>300.88928498528901</v>
      </c>
      <c r="I39" s="22">
        <f t="shared" si="10"/>
        <v>300.88928498528901</v>
      </c>
      <c r="J39" s="22">
        <f t="shared" si="10"/>
        <v>300.88928498528901</v>
      </c>
      <c r="K39" s="22">
        <f t="shared" si="10"/>
        <v>300.88928498528901</v>
      </c>
      <c r="L39" s="22">
        <f t="shared" si="10"/>
        <v>300.88928498528901</v>
      </c>
      <c r="M39" s="22">
        <f t="shared" si="10"/>
        <v>300.88928498528901</v>
      </c>
      <c r="N39" s="22">
        <f t="shared" si="10"/>
        <v>300.88928498528901</v>
      </c>
      <c r="O39" s="22">
        <f t="shared" si="10"/>
        <v>300.88928498528901</v>
      </c>
      <c r="P39" s="22">
        <f t="shared" si="10"/>
        <v>300.88928498528901</v>
      </c>
      <c r="Q39" s="22">
        <f t="shared" si="10"/>
        <v>300.88928498528901</v>
      </c>
      <c r="R39" s="22">
        <f t="shared" si="10"/>
        <v>300.88928498528901</v>
      </c>
      <c r="S39" s="22">
        <f t="shared" si="10"/>
        <v>300.88928498528901</v>
      </c>
      <c r="T39" s="22">
        <f t="shared" si="10"/>
        <v>300.88928498528901</v>
      </c>
      <c r="U39" s="22">
        <f t="shared" si="10"/>
        <v>300.88928498528901</v>
      </c>
      <c r="V39" s="22">
        <f t="shared" si="10"/>
        <v>300.88928498528901</v>
      </c>
      <c r="W39" s="22">
        <f t="shared" si="10"/>
        <v>300.88928498528901</v>
      </c>
      <c r="X39" s="22">
        <f t="shared" si="10"/>
        <v>300.88928498528901</v>
      </c>
      <c r="Y39" s="22">
        <f t="shared" si="10"/>
        <v>300.88928498528901</v>
      </c>
      <c r="Z39" s="22">
        <f t="shared" si="10"/>
        <v>300.88928498528901</v>
      </c>
      <c r="AA39" s="106">
        <f t="shared" si="10"/>
        <v>300.88928498528901</v>
      </c>
      <c r="AB39" s="191">
        <f t="shared" si="4"/>
        <v>1614.8958736035172</v>
      </c>
    </row>
    <row r="40" spans="1:28" s="7" customFormat="1" ht="25.5" customHeight="1" x14ac:dyDescent="0.25">
      <c r="A40" s="626" t="s">
        <v>14</v>
      </c>
      <c r="B40" s="627"/>
      <c r="C40" s="23">
        <f t="shared" ref="C40:AA40" si="11">C39-C33</f>
        <v>0</v>
      </c>
      <c r="D40" s="23">
        <f t="shared" si="11"/>
        <v>0</v>
      </c>
      <c r="E40" s="23">
        <f t="shared" si="11"/>
        <v>0</v>
      </c>
      <c r="F40" s="23">
        <f t="shared" si="11"/>
        <v>-50</v>
      </c>
      <c r="G40" s="23">
        <f t="shared" si="11"/>
        <v>81.506479900268744</v>
      </c>
      <c r="H40" s="23">
        <f t="shared" si="11"/>
        <v>81.506479900268744</v>
      </c>
      <c r="I40" s="23">
        <f t="shared" si="11"/>
        <v>81.506479900268744</v>
      </c>
      <c r="J40" s="23">
        <f t="shared" si="11"/>
        <v>81.506479900268744</v>
      </c>
      <c r="K40" s="23">
        <f t="shared" si="11"/>
        <v>81.506479900268744</v>
      </c>
      <c r="L40" s="23">
        <f t="shared" si="11"/>
        <v>81.506479900268744</v>
      </c>
      <c r="M40" s="23">
        <f t="shared" si="11"/>
        <v>81.506479900268744</v>
      </c>
      <c r="N40" s="23">
        <f t="shared" si="11"/>
        <v>81.506479900268744</v>
      </c>
      <c r="O40" s="23">
        <f t="shared" si="11"/>
        <v>81.506479900268744</v>
      </c>
      <c r="P40" s="23">
        <f t="shared" si="11"/>
        <v>81.506479900268744</v>
      </c>
      <c r="Q40" s="23">
        <f t="shared" si="11"/>
        <v>81.506479900268744</v>
      </c>
      <c r="R40" s="23">
        <f t="shared" si="11"/>
        <v>81.506479900268744</v>
      </c>
      <c r="S40" s="23">
        <f t="shared" si="11"/>
        <v>81.506479900268744</v>
      </c>
      <c r="T40" s="23">
        <f t="shared" si="11"/>
        <v>81.506479900268744</v>
      </c>
      <c r="U40" s="23">
        <f t="shared" si="11"/>
        <v>81.506479900268744</v>
      </c>
      <c r="V40" s="23">
        <f t="shared" si="11"/>
        <v>81.506479900268744</v>
      </c>
      <c r="W40" s="23">
        <f t="shared" si="11"/>
        <v>81.506479900268744</v>
      </c>
      <c r="X40" s="23">
        <f t="shared" si="11"/>
        <v>81.506479900268744</v>
      </c>
      <c r="Y40" s="23">
        <f t="shared" si="11"/>
        <v>81.506479900268744</v>
      </c>
      <c r="Z40" s="23">
        <f t="shared" si="11"/>
        <v>81.506479900268744</v>
      </c>
      <c r="AA40" s="107">
        <f t="shared" si="11"/>
        <v>81.506479900268744</v>
      </c>
      <c r="AB40" s="192">
        <f t="shared" si="4"/>
        <v>337.19467782462817</v>
      </c>
    </row>
    <row r="41" spans="1:28" s="7" customFormat="1" ht="25.5" customHeight="1" x14ac:dyDescent="0.25">
      <c r="A41" s="628" t="s">
        <v>5</v>
      </c>
      <c r="B41" s="18" t="s">
        <v>46</v>
      </c>
      <c r="C41" s="24">
        <f>C40</f>
        <v>0</v>
      </c>
      <c r="D41" s="25">
        <f t="shared" ref="D41:AA41" si="12">D40+C41</f>
        <v>0</v>
      </c>
      <c r="E41" s="25">
        <f t="shared" si="12"/>
        <v>0</v>
      </c>
      <c r="F41" s="25">
        <f t="shared" si="12"/>
        <v>-50</v>
      </c>
      <c r="G41" s="25">
        <f t="shared" si="12"/>
        <v>31.506479900268744</v>
      </c>
      <c r="H41" s="25">
        <f t="shared" si="12"/>
        <v>113.01295980053749</v>
      </c>
      <c r="I41" s="25">
        <f t="shared" si="12"/>
        <v>194.51943970080623</v>
      </c>
      <c r="J41" s="24">
        <f t="shared" si="12"/>
        <v>276.02591960107497</v>
      </c>
      <c r="K41" s="25">
        <f t="shared" si="12"/>
        <v>357.53239950134372</v>
      </c>
      <c r="L41" s="25">
        <f t="shared" si="12"/>
        <v>439.03887940161246</v>
      </c>
      <c r="M41" s="25">
        <f t="shared" si="12"/>
        <v>520.54535930188126</v>
      </c>
      <c r="N41" s="25">
        <f t="shared" si="12"/>
        <v>602.05183920214995</v>
      </c>
      <c r="O41" s="25">
        <f t="shared" si="12"/>
        <v>683.55831910241864</v>
      </c>
      <c r="P41" s="25">
        <f t="shared" si="12"/>
        <v>765.06479900268732</v>
      </c>
      <c r="Q41" s="25">
        <f t="shared" si="12"/>
        <v>846.57127890295601</v>
      </c>
      <c r="R41" s="25">
        <f t="shared" si="12"/>
        <v>928.0777588032247</v>
      </c>
      <c r="S41" s="25">
        <f t="shared" si="12"/>
        <v>1009.5842387034934</v>
      </c>
      <c r="T41" s="25">
        <f t="shared" si="12"/>
        <v>1091.0907186037621</v>
      </c>
      <c r="U41" s="25">
        <f t="shared" si="12"/>
        <v>1172.5971985040308</v>
      </c>
      <c r="V41" s="25">
        <f t="shared" si="12"/>
        <v>1254.1036784042994</v>
      </c>
      <c r="W41" s="25">
        <f t="shared" si="12"/>
        <v>1335.6101583045681</v>
      </c>
      <c r="X41" s="24">
        <f t="shared" si="12"/>
        <v>1417.1166382048368</v>
      </c>
      <c r="Y41" s="25">
        <f t="shared" si="12"/>
        <v>1498.6231181051055</v>
      </c>
      <c r="Z41" s="25">
        <f t="shared" si="12"/>
        <v>1580.1295980053742</v>
      </c>
      <c r="AA41" s="108">
        <f t="shared" si="12"/>
        <v>1661.6360779056429</v>
      </c>
      <c r="AB41" s="193">
        <f>SUM(C41:AA41)</f>
        <v>17727.996856962072</v>
      </c>
    </row>
    <row r="42" spans="1:28" s="7" customFormat="1" ht="25.5" customHeight="1" x14ac:dyDescent="0.25">
      <c r="A42" s="629"/>
      <c r="B42" s="19" t="s">
        <v>13</v>
      </c>
      <c r="C42" s="26"/>
      <c r="D42" s="27">
        <f t="shared" ref="D42:AA42" si="13">IF(AND(D41&gt;0,C41&lt;0),D27,0)</f>
        <v>0</v>
      </c>
      <c r="E42" s="27">
        <f t="shared" si="13"/>
        <v>0</v>
      </c>
      <c r="F42" s="27">
        <f t="shared" si="13"/>
        <v>0</v>
      </c>
      <c r="G42" s="27">
        <f t="shared" si="13"/>
        <v>5</v>
      </c>
      <c r="H42" s="27">
        <f t="shared" si="13"/>
        <v>0</v>
      </c>
      <c r="I42" s="27">
        <f t="shared" si="13"/>
        <v>0</v>
      </c>
      <c r="J42" s="27">
        <f t="shared" si="13"/>
        <v>0</v>
      </c>
      <c r="K42" s="27">
        <f t="shared" si="13"/>
        <v>0</v>
      </c>
      <c r="L42" s="27">
        <f t="shared" si="13"/>
        <v>0</v>
      </c>
      <c r="M42" s="27">
        <f t="shared" si="13"/>
        <v>0</v>
      </c>
      <c r="N42" s="27">
        <f t="shared" si="13"/>
        <v>0</v>
      </c>
      <c r="O42" s="27">
        <f t="shared" si="13"/>
        <v>0</v>
      </c>
      <c r="P42" s="27">
        <f t="shared" si="13"/>
        <v>0</v>
      </c>
      <c r="Q42" s="27">
        <f t="shared" si="13"/>
        <v>0</v>
      </c>
      <c r="R42" s="27">
        <f t="shared" si="13"/>
        <v>0</v>
      </c>
      <c r="S42" s="27">
        <f t="shared" si="13"/>
        <v>0</v>
      </c>
      <c r="T42" s="27">
        <f t="shared" si="13"/>
        <v>0</v>
      </c>
      <c r="U42" s="27">
        <f t="shared" si="13"/>
        <v>0</v>
      </c>
      <c r="V42" s="27">
        <f t="shared" si="13"/>
        <v>0</v>
      </c>
      <c r="W42" s="27">
        <f t="shared" si="13"/>
        <v>0</v>
      </c>
      <c r="X42" s="27">
        <f t="shared" si="13"/>
        <v>0</v>
      </c>
      <c r="Y42" s="27">
        <f t="shared" si="13"/>
        <v>0</v>
      </c>
      <c r="Z42" s="27">
        <f t="shared" si="13"/>
        <v>0</v>
      </c>
      <c r="AA42" s="109">
        <f t="shared" si="13"/>
        <v>0</v>
      </c>
      <c r="AB42" s="194">
        <f>SUM(C42:AA42)</f>
        <v>5</v>
      </c>
    </row>
    <row r="43" spans="1:28" s="8" customFormat="1" x14ac:dyDescent="0.25">
      <c r="B43" s="9"/>
      <c r="AB43" s="16"/>
    </row>
    <row r="44" spans="1:28" s="8" customFormat="1" x14ac:dyDescent="0.25">
      <c r="A44" s="630" t="s">
        <v>21</v>
      </c>
      <c r="B44" s="630"/>
      <c r="C44" s="630"/>
      <c r="E44" s="217" t="s">
        <v>1456</v>
      </c>
      <c r="F44" s="218"/>
      <c r="G44" s="218"/>
      <c r="H44" s="219"/>
      <c r="AB44" s="16"/>
    </row>
    <row r="45" spans="1:28" s="8" customFormat="1" x14ac:dyDescent="0.25">
      <c r="A45" s="223" t="s">
        <v>19</v>
      </c>
      <c r="B45" s="224">
        <f>B16</f>
        <v>2.1999999999999999E-2</v>
      </c>
      <c r="C45" s="221"/>
      <c r="E45" s="8" t="s">
        <v>1457</v>
      </c>
      <c r="F45" s="8">
        <f>24*15</f>
        <v>360</v>
      </c>
      <c r="G45" s="8" t="s">
        <v>1458</v>
      </c>
      <c r="AB45" s="16"/>
    </row>
    <row r="46" spans="1:28" s="8" customFormat="1" ht="15" x14ac:dyDescent="0.25">
      <c r="A46" s="223" t="s">
        <v>1054</v>
      </c>
      <c r="B46" s="225">
        <v>646.49</v>
      </c>
      <c r="C46" s="222" t="s">
        <v>20</v>
      </c>
      <c r="D46" s="201"/>
      <c r="E46" s="8" t="s">
        <v>1459</v>
      </c>
      <c r="F46" s="220">
        <f>13010*'Beneficios Perdidas'!C46</f>
        <v>6172.3553879018591</v>
      </c>
      <c r="G46" s="8" t="s">
        <v>1460</v>
      </c>
      <c r="AB46" s="16"/>
    </row>
    <row r="47" spans="1:28" s="8" customFormat="1" x14ac:dyDescent="0.25">
      <c r="A47" s="223" t="s">
        <v>1352</v>
      </c>
      <c r="B47" s="226">
        <v>128.88</v>
      </c>
      <c r="C47" s="222" t="s">
        <v>20</v>
      </c>
      <c r="D47" s="201"/>
      <c r="E47" s="8" t="s">
        <v>1461</v>
      </c>
      <c r="F47" s="220">
        <f>F46*F45</f>
        <v>2222047.9396446692</v>
      </c>
      <c r="G47" s="8" t="s">
        <v>1462</v>
      </c>
      <c r="AB47" s="16"/>
    </row>
    <row r="48" spans="1:28" s="8" customFormat="1" x14ac:dyDescent="0.25">
      <c r="A48" s="223" t="s">
        <v>1353</v>
      </c>
      <c r="B48" s="226">
        <v>21.643999999999998</v>
      </c>
      <c r="C48" s="222" t="s">
        <v>20</v>
      </c>
      <c r="D48" s="201"/>
      <c r="AB48" s="16"/>
    </row>
    <row r="49" spans="1:28" s="8" customFormat="1" x14ac:dyDescent="0.25">
      <c r="A49" s="223" t="s">
        <v>1354</v>
      </c>
      <c r="B49" s="226">
        <v>171.16800000000001</v>
      </c>
      <c r="C49" s="222" t="s">
        <v>20</v>
      </c>
      <c r="D49" s="201"/>
      <c r="AB49" s="16"/>
    </row>
    <row r="50" spans="1:28" s="8" customFormat="1" x14ac:dyDescent="0.25">
      <c r="A50" s="223" t="s">
        <v>1355</v>
      </c>
      <c r="B50" s="226">
        <v>68.852000000000004</v>
      </c>
      <c r="C50" s="222" t="s">
        <v>20</v>
      </c>
      <c r="D50" s="201"/>
      <c r="AB50" s="16"/>
    </row>
    <row r="51" spans="1:28" s="8" customFormat="1" x14ac:dyDescent="0.25">
      <c r="A51" s="223" t="s">
        <v>1356</v>
      </c>
      <c r="B51" s="226">
        <v>17.57</v>
      </c>
      <c r="C51" s="222" t="s">
        <v>20</v>
      </c>
      <c r="D51" s="201"/>
      <c r="AB51" s="16"/>
    </row>
    <row r="52" spans="1:28" s="8" customFormat="1" x14ac:dyDescent="0.25">
      <c r="A52" s="223" t="s">
        <v>1357</v>
      </c>
      <c r="B52" s="226">
        <v>21.957999999999998</v>
      </c>
      <c r="C52" s="222" t="s">
        <v>20</v>
      </c>
      <c r="D52" s="201"/>
      <c r="AB52" s="16"/>
    </row>
    <row r="53" spans="1:28" s="8" customFormat="1" x14ac:dyDescent="0.25">
      <c r="A53" s="223" t="s">
        <v>1053</v>
      </c>
      <c r="B53" s="226">
        <v>430.07</v>
      </c>
      <c r="C53" s="222" t="s">
        <v>20</v>
      </c>
      <c r="D53" s="201"/>
      <c r="AB53" s="16"/>
    </row>
    <row r="54" spans="1:28" s="8" customFormat="1" x14ac:dyDescent="0.25">
      <c r="A54" s="223" t="s">
        <v>1351</v>
      </c>
      <c r="B54" s="227">
        <v>393.69299999999998</v>
      </c>
      <c r="C54" s="222" t="s">
        <v>20</v>
      </c>
      <c r="D54" s="201"/>
      <c r="AB54" s="16"/>
    </row>
    <row r="55" spans="1:28" s="8" customFormat="1" x14ac:dyDescent="0.25">
      <c r="A55" s="223" t="s">
        <v>1</v>
      </c>
      <c r="B55" s="226">
        <f>'Beneficios Peaje'!C10</f>
        <v>2012</v>
      </c>
      <c r="C55" s="222" t="s">
        <v>22</v>
      </c>
      <c r="AB55" s="16"/>
    </row>
    <row r="56" spans="1:28" s="8" customFormat="1" x14ac:dyDescent="0.25">
      <c r="A56" s="223" t="s">
        <v>1034</v>
      </c>
      <c r="B56" s="228">
        <v>250000</v>
      </c>
      <c r="C56" s="222" t="s">
        <v>1471</v>
      </c>
      <c r="AB56" s="16"/>
    </row>
    <row r="57" spans="1:28" s="8" customFormat="1" x14ac:dyDescent="0.25">
      <c r="A57" s="223" t="s">
        <v>1052</v>
      </c>
      <c r="B57" s="229">
        <v>101.27</v>
      </c>
      <c r="C57" s="222"/>
      <c r="AB57" s="16"/>
    </row>
    <row r="58" spans="1:28" s="8" customFormat="1" x14ac:dyDescent="0.25">
      <c r="A58" s="223" t="s">
        <v>1470</v>
      </c>
      <c r="B58" s="229">
        <v>117.22</v>
      </c>
      <c r="C58" s="222"/>
      <c r="AB58" s="16"/>
    </row>
    <row r="59" spans="1:28" s="8" customFormat="1" ht="13.5" thickBot="1" x14ac:dyDescent="0.3">
      <c r="B59" s="10"/>
      <c r="AB59" s="16"/>
    </row>
    <row r="60" spans="1:28" s="8" customFormat="1" ht="15.75" customHeight="1" thickBot="1" x14ac:dyDescent="0.3">
      <c r="A60" s="76" t="s">
        <v>15</v>
      </c>
      <c r="B60" s="77"/>
      <c r="C60" s="77"/>
      <c r="D60" s="77"/>
      <c r="E60" s="77"/>
      <c r="F60" s="77"/>
      <c r="G60" s="78"/>
      <c r="I60" s="80" t="s">
        <v>987</v>
      </c>
      <c r="J60" s="81"/>
      <c r="K60" s="82"/>
      <c r="AB60" s="16"/>
    </row>
    <row r="61" spans="1:28" s="8" customFormat="1" ht="15" customHeight="1" x14ac:dyDescent="0.25">
      <c r="A61" s="603" t="s">
        <v>16</v>
      </c>
      <c r="B61" s="604"/>
      <c r="C61" s="590" t="s">
        <v>17</v>
      </c>
      <c r="D61" s="591"/>
      <c r="E61" s="591"/>
      <c r="F61" s="591"/>
      <c r="G61" s="592"/>
      <c r="I61" s="83" t="s">
        <v>984</v>
      </c>
      <c r="J61" s="75">
        <f>'Beneficios Peaje'!AE49</f>
        <v>1</v>
      </c>
      <c r="AB61" s="16"/>
    </row>
    <row r="62" spans="1:28" s="8" customFormat="1" x14ac:dyDescent="0.25">
      <c r="A62" s="605"/>
      <c r="B62" s="606"/>
      <c r="C62" s="11" t="s">
        <v>41</v>
      </c>
      <c r="D62" s="12" t="s">
        <v>42</v>
      </c>
      <c r="E62" s="12" t="s">
        <v>43</v>
      </c>
      <c r="F62" s="12" t="s">
        <v>44</v>
      </c>
      <c r="G62" s="79" t="s">
        <v>986</v>
      </c>
      <c r="I62" s="83" t="s">
        <v>985</v>
      </c>
      <c r="J62" s="75">
        <f>'Beneficios Peaje'!AF49</f>
        <v>2</v>
      </c>
      <c r="AB62" s="16"/>
    </row>
    <row r="63" spans="1:28" ht="24.95" customHeight="1" x14ac:dyDescent="0.25">
      <c r="A63" s="593" t="s">
        <v>1320</v>
      </c>
      <c r="B63" s="594"/>
      <c r="C63" s="114">
        <f>IF(1&gt;$J$62,'Beneficios Calidad de Servicio'!T38,0)</f>
        <v>0</v>
      </c>
      <c r="D63" s="114">
        <f>IF(2&gt;$J$62,'Beneficios Calidad de Servicio'!U38,0)</f>
        <v>0</v>
      </c>
      <c r="E63" s="114">
        <f>IF(3&gt;$J$62,'Beneficios Calidad de Servicio'!V38,0)</f>
        <v>88465.056297431875</v>
      </c>
      <c r="F63" s="114">
        <f>IF(4&gt;$J$62,'Beneficios Calidad de Servicio'!W38,0)</f>
        <v>90134.208303043779</v>
      </c>
      <c r="G63" s="115">
        <f>IF(5&gt;$J$62,'Beneficios Calidad de Servicio'!X38,0)</f>
        <v>91803.360308655712</v>
      </c>
      <c r="J63" s="75"/>
    </row>
    <row r="64" spans="1:28" ht="24.95" customHeight="1" x14ac:dyDescent="0.25">
      <c r="A64" s="599" t="s">
        <v>1415</v>
      </c>
      <c r="B64" s="600"/>
      <c r="C64" s="114">
        <v>0</v>
      </c>
      <c r="D64" s="114">
        <v>0</v>
      </c>
      <c r="E64" s="114">
        <v>0</v>
      </c>
      <c r="F64" s="114">
        <v>0</v>
      </c>
      <c r="G64" s="115">
        <f>IF(5&gt;$J$62,'Beneficios Crecimiento Demanda'!C31*24*365,0)</f>
        <v>1223116.9800290063</v>
      </c>
      <c r="I64" s="80" t="s">
        <v>1015</v>
      </c>
      <c r="J64" s="81"/>
      <c r="K64" s="82"/>
    </row>
    <row r="65" spans="1:27" s="15" customFormat="1" ht="24.95" customHeight="1" x14ac:dyDescent="0.25">
      <c r="A65" s="599" t="s">
        <v>1011</v>
      </c>
      <c r="B65" s="600"/>
      <c r="C65" s="111">
        <f>IF(1&gt;$J$65,'Beneficios Peaje'!$AB$49,0)</f>
        <v>0</v>
      </c>
      <c r="D65" s="111">
        <f>IF(2&gt;$J$65,'Beneficios Peaje'!$AB$49,0)</f>
        <v>1309339501.34077</v>
      </c>
      <c r="E65" s="111">
        <f>IF(3&gt;$J$65,'Beneficios Peaje'!$AB$49,0)</f>
        <v>1309339501.34077</v>
      </c>
      <c r="F65" s="111">
        <f>IF(4&gt;$J$65,'Beneficios Peaje'!$AB$49,0)</f>
        <v>1309339501.34077</v>
      </c>
      <c r="G65" s="112">
        <f>IF(5&gt;$J$65,'Beneficios Peaje'!$AB$49,0)</f>
        <v>1309339501.34077</v>
      </c>
      <c r="H65" s="3"/>
      <c r="I65" s="83" t="s">
        <v>984</v>
      </c>
      <c r="J65" s="75">
        <f>'Beneficios Peaje'!AD49</f>
        <v>1</v>
      </c>
      <c r="K65" s="8"/>
      <c r="L65" s="3"/>
      <c r="M65" s="3"/>
      <c r="N65" s="3"/>
      <c r="O65" s="3"/>
      <c r="P65" s="3"/>
      <c r="Q65" s="3"/>
      <c r="R65" s="3"/>
      <c r="S65" s="3"/>
      <c r="T65" s="3"/>
      <c r="U65" s="3"/>
      <c r="V65" s="3"/>
      <c r="W65" s="3"/>
      <c r="X65" s="3"/>
      <c r="Y65" s="3"/>
      <c r="Z65" s="3"/>
      <c r="AA65" s="3"/>
    </row>
    <row r="66" spans="1:27" s="15" customFormat="1" ht="24.95" customHeight="1" x14ac:dyDescent="0.25">
      <c r="A66" s="599" t="s">
        <v>1012</v>
      </c>
      <c r="B66" s="600"/>
      <c r="C66" s="111">
        <f>IF(1&gt;$J$62,'Beneficios Peaje'!AI49,0)</f>
        <v>0</v>
      </c>
      <c r="D66" s="111">
        <f>IF(2&gt;$J$62,'Beneficios Peaje'!AI49,0)</f>
        <v>0</v>
      </c>
      <c r="E66" s="111">
        <f>IF(3&gt;$J$62,'Beneficios Peaje'!AI49,0)</f>
        <v>7699218412.9554663</v>
      </c>
      <c r="F66" s="111">
        <f>IF(4&gt;$J$62,'Beneficios Peaje'!AI49,0)</f>
        <v>7699218412.9554663</v>
      </c>
      <c r="G66" s="112">
        <f>IF(5&gt;$J$62,'Beneficios Peaje'!AI49,0)</f>
        <v>7699218412.9554663</v>
      </c>
      <c r="H66" s="3"/>
      <c r="I66" s="3"/>
      <c r="J66" s="3"/>
      <c r="K66" s="3"/>
      <c r="L66" s="3"/>
      <c r="M66" s="3"/>
      <c r="N66" s="3"/>
      <c r="O66" s="3"/>
      <c r="P66" s="3"/>
      <c r="Q66" s="3"/>
      <c r="R66" s="3"/>
      <c r="S66" s="3"/>
      <c r="T66" s="3"/>
      <c r="U66" s="3"/>
      <c r="V66" s="3"/>
      <c r="W66" s="3"/>
      <c r="X66" s="3"/>
      <c r="Y66" s="3"/>
      <c r="Z66" s="3"/>
      <c r="AA66" s="3"/>
    </row>
    <row r="67" spans="1:27" s="15" customFormat="1" ht="24.95" customHeight="1" thickBot="1" x14ac:dyDescent="0.3">
      <c r="A67" s="601" t="s">
        <v>1393</v>
      </c>
      <c r="B67" s="602"/>
      <c r="C67" s="202">
        <f>IF(1&gt;$J$62,'Beneficios Perdidas'!K49*24*365,0)</f>
        <v>0</v>
      </c>
      <c r="D67" s="203">
        <f>IF(2&gt;$J$62,'Beneficios Perdidas'!L49*24*365,0)</f>
        <v>0</v>
      </c>
      <c r="E67" s="203">
        <f>IF(3&gt;$J$62,'Beneficios Perdidas'!M49*24*365,0)</f>
        <v>162148.33351488656</v>
      </c>
      <c r="F67" s="203">
        <f>IF(4&gt;$J$62,'Beneficios Perdidas'!N49*24*365,0)</f>
        <v>154574.99310764493</v>
      </c>
      <c r="G67" s="204">
        <f>IF(5&gt;$J$62,'Beneficios Perdidas'!O49*24*365,0)</f>
        <v>147753.20331851314</v>
      </c>
      <c r="H67" s="3"/>
      <c r="I67" s="3"/>
      <c r="J67" s="3"/>
      <c r="K67" s="3"/>
      <c r="L67" s="3"/>
      <c r="M67" s="3"/>
      <c r="N67" s="3"/>
      <c r="O67" s="3"/>
      <c r="P67" s="3"/>
      <c r="Q67" s="3"/>
      <c r="R67" s="3"/>
      <c r="S67" s="3"/>
      <c r="T67" s="3"/>
      <c r="U67" s="3"/>
      <c r="V67" s="3"/>
      <c r="W67" s="3"/>
      <c r="X67" s="3"/>
      <c r="Y67" s="3"/>
      <c r="Z67" s="3"/>
      <c r="AA67" s="3"/>
    </row>
    <row r="68" spans="1:27" s="15" customFormat="1" ht="24.95" customHeight="1" x14ac:dyDescent="0.25">
      <c r="A68" s="3"/>
      <c r="B68" s="5"/>
      <c r="C68" s="3"/>
      <c r="D68" s="3"/>
      <c r="E68" s="3"/>
      <c r="F68" s="3"/>
      <c r="G68" s="3"/>
      <c r="H68" s="3"/>
      <c r="I68" s="3"/>
      <c r="J68" s="3"/>
      <c r="K68" s="3"/>
      <c r="L68" s="3"/>
      <c r="M68" s="3"/>
      <c r="N68" s="3"/>
      <c r="O68" s="3"/>
      <c r="P68" s="3"/>
      <c r="Q68" s="3"/>
      <c r="R68" s="3"/>
      <c r="S68" s="3"/>
      <c r="T68" s="3"/>
      <c r="U68" s="3"/>
      <c r="V68" s="3"/>
      <c r="W68" s="3"/>
      <c r="X68" s="3"/>
      <c r="Y68" s="3"/>
      <c r="Z68" s="3"/>
      <c r="AA68" s="3"/>
    </row>
    <row r="69" spans="1:27" s="15" customFormat="1" ht="13.5" thickBot="1" x14ac:dyDescent="0.3">
      <c r="A69" s="3"/>
      <c r="B69" s="5"/>
      <c r="C69" s="3"/>
      <c r="D69" s="3"/>
      <c r="E69" s="3"/>
      <c r="F69" s="3"/>
      <c r="G69" s="3"/>
      <c r="H69" s="3"/>
      <c r="I69" s="3"/>
      <c r="J69" s="3"/>
      <c r="K69" s="3"/>
      <c r="L69" s="3"/>
      <c r="M69" s="3"/>
      <c r="N69" s="3"/>
      <c r="O69" s="3"/>
      <c r="P69" s="3"/>
      <c r="Q69" s="3"/>
      <c r="R69" s="3"/>
      <c r="S69" s="3"/>
      <c r="T69" s="3"/>
      <c r="U69" s="3"/>
      <c r="V69" s="3"/>
      <c r="W69" s="3"/>
      <c r="X69" s="3"/>
      <c r="Y69" s="3"/>
      <c r="Z69" s="3"/>
      <c r="AA69" s="3"/>
    </row>
    <row r="70" spans="1:27" s="15" customFormat="1" ht="13.5" thickBot="1" x14ac:dyDescent="0.3">
      <c r="A70" s="76" t="s">
        <v>1032</v>
      </c>
      <c r="B70" s="77"/>
      <c r="C70" s="77"/>
      <c r="D70" s="77"/>
      <c r="E70" s="77"/>
      <c r="F70" s="78"/>
      <c r="G70" s="3"/>
      <c r="H70" s="3"/>
      <c r="I70" s="3"/>
      <c r="J70" s="3"/>
      <c r="K70" s="3"/>
      <c r="L70" s="3"/>
      <c r="M70" s="3"/>
      <c r="N70" s="3"/>
      <c r="O70" s="3"/>
      <c r="P70" s="3"/>
      <c r="Q70" s="3"/>
      <c r="R70" s="3"/>
      <c r="S70" s="3"/>
      <c r="T70" s="3"/>
      <c r="U70" s="3"/>
      <c r="V70" s="3"/>
      <c r="W70" s="3"/>
      <c r="X70" s="3"/>
      <c r="Y70" s="3"/>
      <c r="Z70" s="3"/>
      <c r="AA70" s="3"/>
    </row>
    <row r="71" spans="1:27" s="15" customFormat="1" ht="15" customHeight="1" x14ac:dyDescent="0.25">
      <c r="A71" s="603" t="s">
        <v>16</v>
      </c>
      <c r="B71" s="604"/>
      <c r="C71" s="590" t="s">
        <v>17</v>
      </c>
      <c r="D71" s="591"/>
      <c r="E71" s="591"/>
      <c r="F71" s="592"/>
      <c r="G71" s="3"/>
      <c r="H71" s="3"/>
      <c r="I71" s="3"/>
      <c r="J71" s="3"/>
      <c r="K71" s="3"/>
      <c r="L71" s="3"/>
      <c r="M71" s="3"/>
      <c r="N71" s="3"/>
      <c r="O71" s="3"/>
      <c r="P71" s="3"/>
      <c r="Q71" s="3"/>
      <c r="R71" s="3"/>
      <c r="S71" s="3"/>
      <c r="T71" s="3"/>
      <c r="U71" s="3"/>
      <c r="V71" s="3"/>
      <c r="W71" s="3"/>
      <c r="X71" s="3"/>
      <c r="Y71" s="3"/>
      <c r="Z71" s="3"/>
      <c r="AA71" s="3"/>
    </row>
    <row r="72" spans="1:27" s="15" customFormat="1" x14ac:dyDescent="0.25">
      <c r="A72" s="605"/>
      <c r="B72" s="606"/>
      <c r="C72" s="11" t="s">
        <v>41</v>
      </c>
      <c r="D72" s="12" t="s">
        <v>42</v>
      </c>
      <c r="E72" s="12" t="s">
        <v>43</v>
      </c>
      <c r="F72" s="79" t="s">
        <v>44</v>
      </c>
      <c r="G72" s="79" t="s">
        <v>986</v>
      </c>
      <c r="H72" s="79" t="s">
        <v>1509</v>
      </c>
      <c r="I72" s="79" t="s">
        <v>1510</v>
      </c>
      <c r="J72" s="79" t="s">
        <v>1511</v>
      </c>
      <c r="K72" s="79" t="s">
        <v>1512</v>
      </c>
      <c r="L72" s="79" t="s">
        <v>1513</v>
      </c>
      <c r="M72" s="79" t="s">
        <v>1514</v>
      </c>
      <c r="N72" s="79" t="s">
        <v>1515</v>
      </c>
      <c r="O72" s="79" t="s">
        <v>1516</v>
      </c>
      <c r="P72" s="79" t="s">
        <v>1517</v>
      </c>
      <c r="Q72" s="79" t="s">
        <v>1518</v>
      </c>
      <c r="R72" s="79" t="s">
        <v>1519</v>
      </c>
      <c r="S72" s="79" t="s">
        <v>1520</v>
      </c>
      <c r="T72" s="79" t="s">
        <v>1521</v>
      </c>
      <c r="U72" s="79" t="s">
        <v>1522</v>
      </c>
      <c r="V72" s="79" t="s">
        <v>1523</v>
      </c>
      <c r="W72" s="79" t="s">
        <v>1524</v>
      </c>
      <c r="X72" s="79" t="s">
        <v>1525</v>
      </c>
      <c r="Y72" s="79" t="s">
        <v>1526</v>
      </c>
      <c r="Z72" s="79" t="s">
        <v>1527</v>
      </c>
      <c r="AA72" s="79" t="s">
        <v>1528</v>
      </c>
    </row>
    <row r="73" spans="1:27" s="15" customFormat="1" ht="24" customHeight="1" x14ac:dyDescent="0.25">
      <c r="A73" s="593" t="s">
        <v>1033</v>
      </c>
      <c r="B73" s="594"/>
      <c r="C73" s="111">
        <f>Inversion!Q41</f>
        <v>6035746004.9357834</v>
      </c>
      <c r="D73" s="111">
        <f>Inversion!S41</f>
        <v>6035746004.9357834</v>
      </c>
      <c r="E73" s="111">
        <f>Inversion!U41</f>
        <v>0</v>
      </c>
      <c r="F73" s="112">
        <f>Inversion!W41</f>
        <v>0</v>
      </c>
      <c r="G73" s="112">
        <f>Inversion!X41</f>
        <v>0</v>
      </c>
      <c r="H73" s="112" t="str">
        <f>Inversion!Y41</f>
        <v>OK</v>
      </c>
      <c r="I73" s="112">
        <f>Inversion!Z41</f>
        <v>0</v>
      </c>
      <c r="J73" s="112">
        <f>Inversion!AA41</f>
        <v>0</v>
      </c>
      <c r="K73" s="112">
        <f>Inversion!AB41</f>
        <v>0</v>
      </c>
      <c r="L73" s="112">
        <f>Inversion!AC41</f>
        <v>0</v>
      </c>
      <c r="M73" s="112">
        <f>Inversion!AD41</f>
        <v>0</v>
      </c>
      <c r="N73" s="112">
        <f>Inversion!AE41</f>
        <v>0</v>
      </c>
      <c r="O73" s="112">
        <f>Inversion!AF41</f>
        <v>0</v>
      </c>
      <c r="P73" s="112">
        <f>Inversion!AG41</f>
        <v>0</v>
      </c>
      <c r="Q73" s="112">
        <f>Inversion!AH41</f>
        <v>0</v>
      </c>
      <c r="R73" s="112">
        <f>Inversion!AI41</f>
        <v>0</v>
      </c>
      <c r="S73" s="112">
        <f>Inversion!AJ41</f>
        <v>0</v>
      </c>
      <c r="T73" s="112">
        <f>Inversion!AK41</f>
        <v>0</v>
      </c>
      <c r="U73" s="112">
        <f>Inversion!AL41</f>
        <v>0</v>
      </c>
      <c r="V73" s="112">
        <f>Inversion!AM41</f>
        <v>0</v>
      </c>
      <c r="W73" s="112">
        <f>Inversion!AN41</f>
        <v>0</v>
      </c>
      <c r="X73" s="112">
        <f>Inversion!AO41</f>
        <v>0</v>
      </c>
      <c r="Y73" s="112">
        <f>Inversion!AP41</f>
        <v>0</v>
      </c>
      <c r="Z73" s="112">
        <f>Inversion!AQ41</f>
        <v>0</v>
      </c>
      <c r="AA73" s="112">
        <f>Inversion!AR41</f>
        <v>0</v>
      </c>
    </row>
    <row r="74" spans="1:27" s="15" customFormat="1" ht="24" customHeight="1" x14ac:dyDescent="0.25">
      <c r="A74" s="595" t="s">
        <v>1492</v>
      </c>
      <c r="B74" s="596"/>
      <c r="C74" s="352">
        <f>Preinversion!C11*1000000</f>
        <v>270000000</v>
      </c>
      <c r="D74" s="352"/>
      <c r="E74" s="352"/>
      <c r="F74" s="353"/>
      <c r="G74" s="353"/>
      <c r="H74" s="353"/>
      <c r="I74" s="353"/>
      <c r="J74" s="353"/>
      <c r="K74" s="353"/>
      <c r="L74" s="353"/>
      <c r="M74" s="353"/>
      <c r="N74" s="353"/>
      <c r="O74" s="353"/>
      <c r="P74" s="353"/>
      <c r="Q74" s="353"/>
      <c r="R74" s="353"/>
      <c r="S74" s="353"/>
      <c r="T74" s="353"/>
      <c r="U74" s="353"/>
      <c r="V74" s="353"/>
      <c r="W74" s="353"/>
      <c r="X74" s="353"/>
      <c r="Y74" s="353"/>
      <c r="Z74" s="353"/>
      <c r="AA74" s="353"/>
    </row>
    <row r="75" spans="1:27" s="15" customFormat="1" ht="23.25" customHeight="1" x14ac:dyDescent="0.25">
      <c r="A75" s="595" t="s">
        <v>1325</v>
      </c>
      <c r="B75" s="596"/>
      <c r="C75" s="352">
        <f>Inversion!D49</f>
        <v>91736072.072652489</v>
      </c>
      <c r="D75" s="352">
        <v>0</v>
      </c>
      <c r="E75" s="352">
        <v>0</v>
      </c>
      <c r="F75" s="353">
        <v>0</v>
      </c>
      <c r="G75" s="353">
        <v>0</v>
      </c>
      <c r="H75" s="353">
        <v>0</v>
      </c>
      <c r="I75" s="353">
        <v>0</v>
      </c>
      <c r="J75" s="353">
        <v>0</v>
      </c>
      <c r="K75" s="353">
        <v>0</v>
      </c>
      <c r="L75" s="353">
        <v>0</v>
      </c>
      <c r="M75" s="353">
        <v>0</v>
      </c>
      <c r="N75" s="353">
        <v>0</v>
      </c>
      <c r="O75" s="353">
        <v>0</v>
      </c>
      <c r="P75" s="353">
        <v>0</v>
      </c>
      <c r="Q75" s="353">
        <v>0</v>
      </c>
      <c r="R75" s="353">
        <v>0</v>
      </c>
      <c r="S75" s="353">
        <v>0</v>
      </c>
      <c r="T75" s="353">
        <v>0</v>
      </c>
      <c r="U75" s="353">
        <v>0</v>
      </c>
      <c r="V75" s="353">
        <v>0</v>
      </c>
      <c r="W75" s="353">
        <v>0</v>
      </c>
      <c r="X75" s="353">
        <v>0</v>
      </c>
      <c r="Y75" s="353">
        <v>0</v>
      </c>
      <c r="Z75" s="353">
        <v>0</v>
      </c>
      <c r="AA75" s="353">
        <v>0</v>
      </c>
    </row>
    <row r="76" spans="1:27" s="15" customFormat="1" ht="23.25" customHeight="1" thickBot="1" x14ac:dyDescent="0.3">
      <c r="A76" s="595" t="s">
        <v>1496</v>
      </c>
      <c r="B76" s="596"/>
      <c r="C76" s="352"/>
      <c r="D76" s="352">
        <f>Financiacion!D6</f>
        <v>237182947.59791228</v>
      </c>
      <c r="E76" s="352">
        <f>Financiacion!E6</f>
        <v>219606578.7796793</v>
      </c>
      <c r="F76" s="353">
        <f>Financiacion!F6</f>
        <v>200887745.98826116</v>
      </c>
      <c r="G76" s="353">
        <f>Financiacion!G6</f>
        <v>180952189.06540087</v>
      </c>
      <c r="H76" s="353">
        <f>Financiacion!H6</f>
        <v>159720820.94255465</v>
      </c>
      <c r="I76" s="353">
        <f>Financiacion!I6</f>
        <v>137109413.89172342</v>
      </c>
      <c r="J76" s="353">
        <f>Financiacion!J6</f>
        <v>113028265.38258815</v>
      </c>
      <c r="K76" s="353">
        <f>Financiacion!K6</f>
        <v>87381842.220359102</v>
      </c>
      <c r="L76" s="353">
        <f>Financiacion!L6</f>
        <v>60068401.552585147</v>
      </c>
      <c r="M76" s="353">
        <f>Financiacion!M6</f>
        <v>30979587.241405901</v>
      </c>
      <c r="N76" s="353">
        <f>Financiacion!N6</f>
        <v>0</v>
      </c>
      <c r="O76" s="353">
        <f>Financiacion!O6</f>
        <v>0</v>
      </c>
      <c r="P76" s="353">
        <f>Financiacion!P6</f>
        <v>0</v>
      </c>
      <c r="Q76" s="353">
        <f>Financiacion!Q6</f>
        <v>0</v>
      </c>
      <c r="R76" s="353">
        <f>Financiacion!R6</f>
        <v>0</v>
      </c>
      <c r="S76" s="353">
        <f>Financiacion!S6</f>
        <v>0</v>
      </c>
      <c r="T76" s="353">
        <f>Financiacion!T6</f>
        <v>0</v>
      </c>
      <c r="U76" s="353">
        <f>Financiacion!U6</f>
        <v>0</v>
      </c>
      <c r="V76" s="353">
        <f>Financiacion!V6</f>
        <v>0</v>
      </c>
      <c r="W76" s="353">
        <f>Financiacion!W6</f>
        <v>0</v>
      </c>
      <c r="X76" s="353">
        <f>Financiacion!X6</f>
        <v>0</v>
      </c>
      <c r="Y76" s="353">
        <f>Financiacion!Y6</f>
        <v>0</v>
      </c>
      <c r="Z76" s="353">
        <f>Financiacion!Z6</f>
        <v>0</v>
      </c>
      <c r="AA76" s="353">
        <f>Financiacion!AA6</f>
        <v>0</v>
      </c>
    </row>
    <row r="77" spans="1:27" s="15" customFormat="1" ht="27" customHeight="1" thickBot="1" x14ac:dyDescent="0.3">
      <c r="A77" s="597" t="s">
        <v>1495</v>
      </c>
      <c r="B77" s="598" t="s">
        <v>1494</v>
      </c>
      <c r="C77" s="113">
        <f>SUM(C73:C76)</f>
        <v>6397482077.0084362</v>
      </c>
      <c r="D77" s="113">
        <f t="shared" ref="D77:AA77" si="14">SUM(D73:D76)</f>
        <v>6272928952.5336952</v>
      </c>
      <c r="E77" s="113">
        <f t="shared" si="14"/>
        <v>219606578.7796793</v>
      </c>
      <c r="F77" s="113">
        <f t="shared" si="14"/>
        <v>200887745.98826116</v>
      </c>
      <c r="G77" s="113">
        <f t="shared" si="14"/>
        <v>180952189.06540087</v>
      </c>
      <c r="H77" s="113">
        <f t="shared" si="14"/>
        <v>159720820.94255465</v>
      </c>
      <c r="I77" s="113">
        <f t="shared" si="14"/>
        <v>137109413.89172342</v>
      </c>
      <c r="J77" s="113">
        <f t="shared" si="14"/>
        <v>113028265.38258815</v>
      </c>
      <c r="K77" s="113">
        <f t="shared" si="14"/>
        <v>87381842.220359102</v>
      </c>
      <c r="L77" s="113">
        <f t="shared" si="14"/>
        <v>60068401.552585147</v>
      </c>
      <c r="M77" s="113">
        <f t="shared" si="14"/>
        <v>30979587.241405901</v>
      </c>
      <c r="N77" s="113">
        <f t="shared" si="14"/>
        <v>0</v>
      </c>
      <c r="O77" s="113">
        <f t="shared" si="14"/>
        <v>0</v>
      </c>
      <c r="P77" s="113">
        <f t="shared" si="14"/>
        <v>0</v>
      </c>
      <c r="Q77" s="113">
        <f t="shared" si="14"/>
        <v>0</v>
      </c>
      <c r="R77" s="113">
        <f t="shared" si="14"/>
        <v>0</v>
      </c>
      <c r="S77" s="113">
        <f t="shared" si="14"/>
        <v>0</v>
      </c>
      <c r="T77" s="113">
        <f t="shared" si="14"/>
        <v>0</v>
      </c>
      <c r="U77" s="113">
        <f t="shared" si="14"/>
        <v>0</v>
      </c>
      <c r="V77" s="113">
        <f t="shared" si="14"/>
        <v>0</v>
      </c>
      <c r="W77" s="113">
        <f t="shared" si="14"/>
        <v>0</v>
      </c>
      <c r="X77" s="113">
        <f t="shared" si="14"/>
        <v>0</v>
      </c>
      <c r="Y77" s="113">
        <f t="shared" si="14"/>
        <v>0</v>
      </c>
      <c r="Z77" s="113">
        <f t="shared" si="14"/>
        <v>0</v>
      </c>
      <c r="AA77" s="113">
        <f t="shared" si="14"/>
        <v>0</v>
      </c>
    </row>
  </sheetData>
  <mergeCells count="25">
    <mergeCell ref="A61:B62"/>
    <mergeCell ref="C61:G61"/>
    <mergeCell ref="B2:C11"/>
    <mergeCell ref="A13:B13"/>
    <mergeCell ref="A25:AB25"/>
    <mergeCell ref="A26:B27"/>
    <mergeCell ref="C26:AA26"/>
    <mergeCell ref="AB26:AB27"/>
    <mergeCell ref="A28:A33"/>
    <mergeCell ref="A34:A39"/>
    <mergeCell ref="A40:B40"/>
    <mergeCell ref="A41:A42"/>
    <mergeCell ref="A44:C44"/>
    <mergeCell ref="A77:B77"/>
    <mergeCell ref="A63:B63"/>
    <mergeCell ref="A64:B64"/>
    <mergeCell ref="A65:B65"/>
    <mergeCell ref="A66:B66"/>
    <mergeCell ref="A67:B67"/>
    <mergeCell ref="A71:B72"/>
    <mergeCell ref="C71:F71"/>
    <mergeCell ref="A73:B73"/>
    <mergeCell ref="A74:B74"/>
    <mergeCell ref="A75:B75"/>
    <mergeCell ref="A76:B76"/>
  </mergeCells>
  <pageMargins left="0.7" right="0.7" top="0.75" bottom="0.75" header="0.3" footer="0.3"/>
  <pageSetup paperSize="8"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AB29"/>
  <sheetViews>
    <sheetView showGridLines="0" topLeftCell="A2" workbookViewId="0">
      <selection activeCell="D16" sqref="D16"/>
    </sheetView>
  </sheetViews>
  <sheetFormatPr baseColWidth="10" defaultRowHeight="12.75" x14ac:dyDescent="0.2"/>
  <cols>
    <col min="1" max="1" width="11.42578125" style="366"/>
    <col min="2" max="2" width="42.7109375" style="366" bestFit="1" customWidth="1"/>
    <col min="3" max="9" width="7.85546875" style="367" customWidth="1"/>
    <col min="10" max="15" width="7.28515625" style="367" customWidth="1"/>
    <col min="16" max="22" width="8.140625" style="367" customWidth="1"/>
    <col min="23" max="27" width="8.140625" style="367" bestFit="1" customWidth="1"/>
    <col min="28" max="16384" width="11.42578125" style="366"/>
  </cols>
  <sheetData>
    <row r="3" spans="2:28" s="368" customFormat="1" x14ac:dyDescent="0.2">
      <c r="B3" s="369" t="s">
        <v>965</v>
      </c>
      <c r="C3" s="370">
        <f>Evaluación!C27</f>
        <v>1</v>
      </c>
      <c r="D3" s="370">
        <f>Evaluación!D27</f>
        <v>2</v>
      </c>
      <c r="E3" s="370">
        <f>Evaluación!E27</f>
        <v>3</v>
      </c>
      <c r="F3" s="370">
        <f>Evaluación!F27</f>
        <v>4</v>
      </c>
      <c r="G3" s="370">
        <f>Evaluación!G27</f>
        <v>5</v>
      </c>
      <c r="H3" s="370">
        <f>Evaluación!H27</f>
        <v>6</v>
      </c>
      <c r="I3" s="370">
        <f>Evaluación!I27</f>
        <v>7</v>
      </c>
      <c r="J3" s="370">
        <f>Evaluación!J27</f>
        <v>8</v>
      </c>
      <c r="K3" s="370">
        <f>Evaluación!K27</f>
        <v>9</v>
      </c>
      <c r="L3" s="370">
        <f>Evaluación!L27</f>
        <v>10</v>
      </c>
      <c r="M3" s="370">
        <f>Evaluación!M27</f>
        <v>11</v>
      </c>
      <c r="N3" s="370">
        <f>Evaluación!N27</f>
        <v>12</v>
      </c>
      <c r="O3" s="370">
        <f>Evaluación!O27</f>
        <v>13</v>
      </c>
      <c r="P3" s="370">
        <f>Evaluación!P27</f>
        <v>14</v>
      </c>
      <c r="Q3" s="370">
        <f>Evaluación!Q27</f>
        <v>15</v>
      </c>
      <c r="R3" s="370">
        <f>Evaluación!R27</f>
        <v>16</v>
      </c>
      <c r="S3" s="370">
        <f>Evaluación!S27</f>
        <v>17</v>
      </c>
      <c r="T3" s="370">
        <f>Evaluación!T27</f>
        <v>18</v>
      </c>
      <c r="U3" s="370">
        <f>Evaluación!U27</f>
        <v>19</v>
      </c>
      <c r="V3" s="370">
        <f>Evaluación!V27</f>
        <v>20</v>
      </c>
      <c r="W3" s="370">
        <f>Evaluación!W27</f>
        <v>21</v>
      </c>
      <c r="X3" s="370">
        <f>Evaluación!X27</f>
        <v>22</v>
      </c>
      <c r="Y3" s="370">
        <f>Evaluación!Y27</f>
        <v>23</v>
      </c>
      <c r="Z3" s="370">
        <f>Evaluación!Z27</f>
        <v>24</v>
      </c>
      <c r="AA3" s="370">
        <f>Evaluación!AA27</f>
        <v>25</v>
      </c>
      <c r="AB3" s="375" t="s">
        <v>1551</v>
      </c>
    </row>
    <row r="4" spans="2:28" x14ac:dyDescent="0.2">
      <c r="B4" s="371" t="str">
        <f>Evaluación!B28</f>
        <v>Pre inversión</v>
      </c>
      <c r="C4" s="372">
        <f>Evaluación!C28</f>
        <v>270</v>
      </c>
      <c r="D4" s="372">
        <f>Evaluación!D28</f>
        <v>0</v>
      </c>
      <c r="E4" s="372">
        <f>Evaluación!E28</f>
        <v>0</v>
      </c>
      <c r="F4" s="372">
        <f>Evaluación!F28</f>
        <v>0</v>
      </c>
      <c r="G4" s="372">
        <f>Evaluación!G28</f>
        <v>0</v>
      </c>
      <c r="H4" s="372">
        <f>Evaluación!H28</f>
        <v>0</v>
      </c>
      <c r="I4" s="372">
        <f>Evaluación!I28</f>
        <v>0</v>
      </c>
      <c r="J4" s="372">
        <f>Evaluación!J28</f>
        <v>0</v>
      </c>
      <c r="K4" s="372">
        <f>Evaluación!K28</f>
        <v>0</v>
      </c>
      <c r="L4" s="372">
        <f>Evaluación!L28</f>
        <v>0</v>
      </c>
      <c r="M4" s="372">
        <f>Evaluación!M28</f>
        <v>0</v>
      </c>
      <c r="N4" s="372">
        <f>Evaluación!N28</f>
        <v>0</v>
      </c>
      <c r="O4" s="372">
        <f>Evaluación!O28</f>
        <v>0</v>
      </c>
      <c r="P4" s="372">
        <f>Evaluación!P28</f>
        <v>0</v>
      </c>
      <c r="Q4" s="372">
        <f>Evaluación!Q28</f>
        <v>0</v>
      </c>
      <c r="R4" s="372">
        <f>Evaluación!R28</f>
        <v>0</v>
      </c>
      <c r="S4" s="372">
        <f>Evaluación!S28</f>
        <v>0</v>
      </c>
      <c r="T4" s="372">
        <f>Evaluación!T28</f>
        <v>0</v>
      </c>
      <c r="U4" s="372">
        <f>Evaluación!U28</f>
        <v>0</v>
      </c>
      <c r="V4" s="372">
        <f>Evaluación!V28</f>
        <v>0</v>
      </c>
      <c r="W4" s="372">
        <f>Evaluación!W28</f>
        <v>0</v>
      </c>
      <c r="X4" s="372">
        <f>Evaluación!X28</f>
        <v>0</v>
      </c>
      <c r="Y4" s="372">
        <f>Evaluación!Y28</f>
        <v>0</v>
      </c>
      <c r="Z4" s="372">
        <f>Evaluación!Z28</f>
        <v>0</v>
      </c>
      <c r="AA4" s="372">
        <f>Evaluación!AA28</f>
        <v>0</v>
      </c>
      <c r="AB4" s="376">
        <f>SUM(C4:AA4)</f>
        <v>270</v>
      </c>
    </row>
    <row r="5" spans="2:28" x14ac:dyDescent="0.2">
      <c r="B5" s="371" t="str">
        <f>Evaluación!B29</f>
        <v>Inversión</v>
      </c>
      <c r="C5" s="372">
        <f>Evaluación!C29</f>
        <v>6127.4820770084361</v>
      </c>
      <c r="D5" s="372">
        <f>Evaluación!D29</f>
        <v>6035.7460049357833</v>
      </c>
      <c r="E5" s="372">
        <f>Evaluación!E29</f>
        <v>0</v>
      </c>
      <c r="F5" s="372">
        <f>Evaluación!F29</f>
        <v>0</v>
      </c>
      <c r="G5" s="372">
        <f>Evaluación!G29</f>
        <v>0</v>
      </c>
      <c r="H5" s="372">
        <f>Evaluación!H29</f>
        <v>0</v>
      </c>
      <c r="I5" s="372">
        <f>Evaluación!I29</f>
        <v>0</v>
      </c>
      <c r="J5" s="372">
        <f>Evaluación!J29</f>
        <v>0</v>
      </c>
      <c r="K5" s="372">
        <f>Evaluación!K29</f>
        <v>0</v>
      </c>
      <c r="L5" s="372">
        <f>Evaluación!L29</f>
        <v>0</v>
      </c>
      <c r="M5" s="372">
        <f>Evaluación!M29</f>
        <v>0</v>
      </c>
      <c r="N5" s="372">
        <f>Evaluación!N29</f>
        <v>0</v>
      </c>
      <c r="O5" s="372">
        <f>Evaluación!O29</f>
        <v>0</v>
      </c>
      <c r="P5" s="372">
        <f>Evaluación!P29</f>
        <v>0</v>
      </c>
      <c r="Q5" s="372">
        <f>Evaluación!Q29</f>
        <v>0</v>
      </c>
      <c r="R5" s="372">
        <f>Evaluación!R29</f>
        <v>0</v>
      </c>
      <c r="S5" s="372">
        <f>Evaluación!S29</f>
        <v>0</v>
      </c>
      <c r="T5" s="372">
        <f>Evaluación!T29</f>
        <v>0</v>
      </c>
      <c r="U5" s="372">
        <f>Evaluación!U29</f>
        <v>0</v>
      </c>
      <c r="V5" s="372">
        <f>Evaluación!V29</f>
        <v>0</v>
      </c>
      <c r="W5" s="372">
        <f>Evaluación!W29</f>
        <v>0</v>
      </c>
      <c r="X5" s="372">
        <f>Evaluación!X29</f>
        <v>0</v>
      </c>
      <c r="Y5" s="372">
        <f>Evaluación!Y29</f>
        <v>0</v>
      </c>
      <c r="Z5" s="372">
        <f>Evaluación!Z29</f>
        <v>0</v>
      </c>
      <c r="AA5" s="372">
        <f>Evaluación!AA29</f>
        <v>0</v>
      </c>
      <c r="AB5" s="376">
        <f>SUM(C5:AA5)</f>
        <v>12163.22808194422</v>
      </c>
    </row>
    <row r="7" spans="2:28" x14ac:dyDescent="0.2">
      <c r="B7" s="369" t="s">
        <v>965</v>
      </c>
      <c r="C7" s="370">
        <v>1</v>
      </c>
      <c r="D7" s="370">
        <v>2</v>
      </c>
      <c r="E7" s="370">
        <v>3</v>
      </c>
      <c r="F7" s="370">
        <v>4</v>
      </c>
      <c r="G7" s="370">
        <v>5</v>
      </c>
      <c r="H7" s="370">
        <v>6</v>
      </c>
      <c r="I7" s="370">
        <v>7</v>
      </c>
      <c r="J7" s="370">
        <v>8</v>
      </c>
      <c r="K7" s="370">
        <v>9</v>
      </c>
      <c r="L7" s="370">
        <v>10</v>
      </c>
      <c r="M7" s="370">
        <v>11</v>
      </c>
      <c r="N7" s="370">
        <v>12</v>
      </c>
      <c r="O7" s="370">
        <v>13</v>
      </c>
      <c r="P7" s="370">
        <v>14</v>
      </c>
      <c r="Q7" s="370">
        <v>15</v>
      </c>
      <c r="R7" s="370">
        <v>16</v>
      </c>
      <c r="S7" s="370">
        <v>17</v>
      </c>
      <c r="T7" s="370">
        <v>18</v>
      </c>
      <c r="U7" s="370">
        <v>19</v>
      </c>
      <c r="V7" s="370">
        <v>20</v>
      </c>
      <c r="W7" s="370">
        <v>21</v>
      </c>
      <c r="X7" s="370">
        <v>22</v>
      </c>
      <c r="Y7" s="370">
        <v>23</v>
      </c>
      <c r="Z7" s="370">
        <v>24</v>
      </c>
      <c r="AA7" s="370">
        <v>25</v>
      </c>
      <c r="AB7" s="375" t="s">
        <v>1551</v>
      </c>
    </row>
    <row r="8" spans="2:28" x14ac:dyDescent="0.2">
      <c r="B8" s="371" t="str">
        <f>Evaluación!B30</f>
        <v>Costos de financiación</v>
      </c>
      <c r="C8" s="372">
        <f>Evaluación!C30</f>
        <v>0</v>
      </c>
      <c r="D8" s="372">
        <f>Evaluación!D30</f>
        <v>237.18294759791229</v>
      </c>
      <c r="E8" s="372">
        <f>Evaluación!E30</f>
        <v>219.6065787796793</v>
      </c>
      <c r="F8" s="372">
        <f>Evaluación!F30</f>
        <v>200.88774598826117</v>
      </c>
      <c r="G8" s="372">
        <f>Evaluación!G30</f>
        <v>180.95218906540086</v>
      </c>
      <c r="H8" s="372">
        <f>Evaluación!H30</f>
        <v>159.72082094255464</v>
      </c>
      <c r="I8" s="372">
        <f>Evaluación!I30</f>
        <v>137.10941389172342</v>
      </c>
      <c r="J8" s="372">
        <f>Evaluación!J30</f>
        <v>113.02826538258815</v>
      </c>
      <c r="K8" s="372">
        <f>Evaluación!K30</f>
        <v>87.381842220359104</v>
      </c>
      <c r="L8" s="372">
        <f>Evaluación!L30</f>
        <v>60.068401552585151</v>
      </c>
      <c r="M8" s="372">
        <f>Evaluación!M30</f>
        <v>30.979587241405902</v>
      </c>
      <c r="N8" s="372">
        <f>Evaluación!N30</f>
        <v>0</v>
      </c>
      <c r="O8" s="372">
        <f>Evaluación!O30</f>
        <v>0</v>
      </c>
      <c r="P8" s="372">
        <f>Evaluación!P30</f>
        <v>0</v>
      </c>
      <c r="Q8" s="372">
        <f>Evaluación!Q30</f>
        <v>0</v>
      </c>
      <c r="R8" s="372">
        <f>Evaluación!R30</f>
        <v>0</v>
      </c>
      <c r="S8" s="372">
        <f>Evaluación!S30</f>
        <v>0</v>
      </c>
      <c r="T8" s="372">
        <f>Evaluación!T30</f>
        <v>0</v>
      </c>
      <c r="U8" s="372">
        <f>Evaluación!U30</f>
        <v>0</v>
      </c>
      <c r="V8" s="372">
        <f>Evaluación!V30</f>
        <v>0</v>
      </c>
      <c r="W8" s="372">
        <f>Evaluación!W30</f>
        <v>0</v>
      </c>
      <c r="X8" s="372">
        <f>Evaluación!X30</f>
        <v>0</v>
      </c>
      <c r="Y8" s="372">
        <f>Evaluación!Y30</f>
        <v>0</v>
      </c>
      <c r="Z8" s="372">
        <f>Evaluación!Z30</f>
        <v>0</v>
      </c>
      <c r="AA8" s="372">
        <f>Evaluación!AA30</f>
        <v>0</v>
      </c>
      <c r="AB8" s="376">
        <f>SUM(C8:AA8)</f>
        <v>1426.91779266247</v>
      </c>
    </row>
    <row r="9" spans="2:28" x14ac:dyDescent="0.2">
      <c r="B9" s="371" t="str">
        <f>Evaluación!B31</f>
        <v>AOM Gastado</v>
      </c>
      <c r="C9" s="372">
        <f>Evaluación!C31</f>
        <v>0</v>
      </c>
      <c r="D9" s="372">
        <f>Evaluación!D31</f>
        <v>0</v>
      </c>
      <c r="E9" s="372">
        <f>Evaluación!E31</f>
        <v>234.05623975384617</v>
      </c>
      <c r="F9" s="372">
        <f>Evaluación!F31</f>
        <v>234.05623975384617</v>
      </c>
      <c r="G9" s="372">
        <f>Evaluación!G31</f>
        <v>234.05623975384617</v>
      </c>
      <c r="H9" s="372">
        <f>Evaluación!H31</f>
        <v>234.05623975384617</v>
      </c>
      <c r="I9" s="372">
        <f>Evaluación!I31</f>
        <v>234.05623975384617</v>
      </c>
      <c r="J9" s="372">
        <f>Evaluación!J31</f>
        <v>234.05623975384617</v>
      </c>
      <c r="K9" s="372">
        <f>Evaluación!K31</f>
        <v>234.05623975384617</v>
      </c>
      <c r="L9" s="372">
        <f>Evaluación!L31</f>
        <v>234.05623975384617</v>
      </c>
      <c r="M9" s="372">
        <f>Evaluación!M31</f>
        <v>234.05623975384617</v>
      </c>
      <c r="N9" s="372">
        <f>Evaluación!N31</f>
        <v>234.05623975384617</v>
      </c>
      <c r="O9" s="372">
        <f>Evaluación!O31</f>
        <v>234.05623975384617</v>
      </c>
      <c r="P9" s="372">
        <f>Evaluación!P31</f>
        <v>234.05623975384617</v>
      </c>
      <c r="Q9" s="372">
        <f>Evaluación!Q31</f>
        <v>234.05623975384617</v>
      </c>
      <c r="R9" s="372">
        <f>Evaluación!R31</f>
        <v>234.05623975384617</v>
      </c>
      <c r="S9" s="372">
        <f>Evaluación!S31</f>
        <v>234.05623975384617</v>
      </c>
      <c r="T9" s="372">
        <f>Evaluación!T31</f>
        <v>234.05623975384617</v>
      </c>
      <c r="U9" s="372">
        <f>Evaluación!U31</f>
        <v>234.05623975384617</v>
      </c>
      <c r="V9" s="372">
        <f>Evaluación!V31</f>
        <v>234.05623975384617</v>
      </c>
      <c r="W9" s="372">
        <f>Evaluación!W31</f>
        <v>234.05623975384617</v>
      </c>
      <c r="X9" s="372">
        <f>Evaluación!X31</f>
        <v>234.05623975384617</v>
      </c>
      <c r="Y9" s="372">
        <f>Evaluación!Y31</f>
        <v>234.05623975384617</v>
      </c>
      <c r="Z9" s="372">
        <f>Evaluación!Z31</f>
        <v>234.05623975384617</v>
      </c>
      <c r="AA9" s="372">
        <f>Evaluación!AA31</f>
        <v>234.05623975384617</v>
      </c>
      <c r="AB9" s="376">
        <f>SUM(C9:AA9)</f>
        <v>5383.2935143384602</v>
      </c>
    </row>
    <row r="10" spans="2:28" x14ac:dyDescent="0.2">
      <c r="B10" s="371" t="str">
        <f>Evaluación!B32</f>
        <v>TOTAL COSTOS</v>
      </c>
      <c r="C10" s="372">
        <f>Evaluación!C32</f>
        <v>6397.4820770084361</v>
      </c>
      <c r="D10" s="372">
        <f>Evaluación!D32</f>
        <v>6272.9289525336953</v>
      </c>
      <c r="E10" s="372">
        <f>Evaluación!E32</f>
        <v>453.66281853352547</v>
      </c>
      <c r="F10" s="372">
        <f>Evaluación!F32</f>
        <v>434.94398574210732</v>
      </c>
      <c r="G10" s="372">
        <f>Evaluación!G32</f>
        <v>415.008428819247</v>
      </c>
      <c r="H10" s="372">
        <f>Evaluación!H32</f>
        <v>393.77706069640078</v>
      </c>
      <c r="I10" s="372">
        <f>Evaluación!I32</f>
        <v>371.16565364556959</v>
      </c>
      <c r="J10" s="372">
        <f>Evaluación!J32</f>
        <v>347.0845051364343</v>
      </c>
      <c r="K10" s="372">
        <f>Evaluación!K32</f>
        <v>321.43808197420526</v>
      </c>
      <c r="L10" s="372">
        <f>Evaluación!L32</f>
        <v>294.12464130643133</v>
      </c>
      <c r="M10" s="372">
        <f>Evaluación!M32</f>
        <v>265.03582699525208</v>
      </c>
      <c r="N10" s="372">
        <f>Evaluación!N32</f>
        <v>234.05623975384617</v>
      </c>
      <c r="O10" s="372">
        <f>Evaluación!O32</f>
        <v>234.05623975384617</v>
      </c>
      <c r="P10" s="372">
        <f>Evaluación!P32</f>
        <v>234.05623975384617</v>
      </c>
      <c r="Q10" s="372">
        <f>Evaluación!Q32</f>
        <v>234.05623975384617</v>
      </c>
      <c r="R10" s="372">
        <f>Evaluación!R32</f>
        <v>234.05623975384617</v>
      </c>
      <c r="S10" s="372">
        <f>Evaluación!S32</f>
        <v>234.05623975384617</v>
      </c>
      <c r="T10" s="372">
        <f>Evaluación!T32</f>
        <v>234.05623975384617</v>
      </c>
      <c r="U10" s="372">
        <f>Evaluación!U32</f>
        <v>234.05623975384617</v>
      </c>
      <c r="V10" s="372">
        <f>Evaluación!V32</f>
        <v>234.05623975384617</v>
      </c>
      <c r="W10" s="372">
        <f>Evaluación!W32</f>
        <v>234.05623975384617</v>
      </c>
      <c r="X10" s="372">
        <f>Evaluación!X32</f>
        <v>234.05623975384617</v>
      </c>
      <c r="Y10" s="372">
        <f>Evaluación!Y32</f>
        <v>234.05623975384617</v>
      </c>
      <c r="Z10" s="372">
        <f>Evaluación!Z32</f>
        <v>234.05623975384617</v>
      </c>
      <c r="AA10" s="372">
        <f>Evaluación!AA32</f>
        <v>234.05623975384617</v>
      </c>
      <c r="AB10" s="376">
        <f>SUM(C10:AA10)</f>
        <v>19243.439388945138</v>
      </c>
    </row>
    <row r="12" spans="2:28" x14ac:dyDescent="0.2">
      <c r="B12" s="369" t="s">
        <v>965</v>
      </c>
      <c r="C12" s="370">
        <v>1</v>
      </c>
      <c r="D12" s="370">
        <v>2</v>
      </c>
      <c r="E12" s="370">
        <v>3</v>
      </c>
      <c r="F12" s="370">
        <v>4</v>
      </c>
      <c r="G12" s="370">
        <v>5</v>
      </c>
      <c r="H12" s="370">
        <v>6</v>
      </c>
      <c r="I12" s="370">
        <v>7</v>
      </c>
      <c r="J12" s="370">
        <v>8</v>
      </c>
      <c r="K12" s="370">
        <v>9</v>
      </c>
      <c r="L12" s="370">
        <v>10</v>
      </c>
      <c r="M12" s="370">
        <v>11</v>
      </c>
      <c r="N12" s="370">
        <v>12</v>
      </c>
      <c r="O12" s="370">
        <v>13</v>
      </c>
      <c r="P12" s="370">
        <v>14</v>
      </c>
      <c r="Q12" s="370">
        <v>15</v>
      </c>
      <c r="R12" s="370">
        <v>16</v>
      </c>
      <c r="S12" s="370">
        <v>17</v>
      </c>
      <c r="T12" s="370">
        <v>18</v>
      </c>
      <c r="U12" s="370">
        <v>19</v>
      </c>
      <c r="V12" s="370">
        <v>20</v>
      </c>
      <c r="W12" s="370">
        <v>21</v>
      </c>
      <c r="X12" s="370">
        <v>22</v>
      </c>
      <c r="Y12" s="370">
        <v>23</v>
      </c>
      <c r="Z12" s="370">
        <v>24</v>
      </c>
      <c r="AA12" s="370">
        <v>25</v>
      </c>
      <c r="AB12" s="375" t="s">
        <v>1551</v>
      </c>
    </row>
    <row r="13" spans="2:28" x14ac:dyDescent="0.2">
      <c r="B13" s="371" t="str">
        <f>Evaluación!B33</f>
        <v>Demanda no racionada ante crecimiento</v>
      </c>
      <c r="C13" s="372">
        <f>Evaluación!C33</f>
        <v>0</v>
      </c>
      <c r="D13" s="372">
        <f>Evaluación!D33</f>
        <v>0</v>
      </c>
      <c r="E13" s="372">
        <f>Evaluación!E33</f>
        <v>0</v>
      </c>
      <c r="F13" s="372">
        <f>Evaluación!F33</f>
        <v>0</v>
      </c>
      <c r="G13" s="372">
        <f>Evaluación!G33</f>
        <v>526.02591960107475</v>
      </c>
      <c r="H13" s="372">
        <f>Evaluación!H33</f>
        <v>526.02591960107475</v>
      </c>
      <c r="I13" s="372">
        <f>Evaluación!I33</f>
        <v>526.02591960107475</v>
      </c>
      <c r="J13" s="372">
        <f>Evaluación!J33</f>
        <v>526.02591960107475</v>
      </c>
      <c r="K13" s="372">
        <f>Evaluación!K33</f>
        <v>526.02591960107475</v>
      </c>
      <c r="L13" s="372">
        <f>Evaluación!L33</f>
        <v>526.02591960107475</v>
      </c>
      <c r="M13" s="372">
        <f>Evaluación!M33</f>
        <v>526.02591960107475</v>
      </c>
      <c r="N13" s="372">
        <f>Evaluación!N33</f>
        <v>526.02591960107475</v>
      </c>
      <c r="O13" s="372">
        <f>Evaluación!O33</f>
        <v>526.02591960107475</v>
      </c>
      <c r="P13" s="372">
        <f>Evaluación!P33</f>
        <v>526.02591960107475</v>
      </c>
      <c r="Q13" s="372">
        <f>Evaluación!Q33</f>
        <v>526.02591960107475</v>
      </c>
      <c r="R13" s="372">
        <f>Evaluación!R33</f>
        <v>526.02591960107475</v>
      </c>
      <c r="S13" s="372">
        <f>Evaluación!S33</f>
        <v>526.02591960107475</v>
      </c>
      <c r="T13" s="372">
        <f>Evaluación!T33</f>
        <v>526.02591960107475</v>
      </c>
      <c r="U13" s="372">
        <f>Evaluación!U33</f>
        <v>526.02591960107475</v>
      </c>
      <c r="V13" s="372">
        <f>Evaluación!V33</f>
        <v>526.02591960107475</v>
      </c>
      <c r="W13" s="372">
        <f>Evaluación!W33</f>
        <v>526.02591960107475</v>
      </c>
      <c r="X13" s="372">
        <f>Evaluación!X33</f>
        <v>526.02591960107475</v>
      </c>
      <c r="Y13" s="372">
        <f>Evaluación!Y33</f>
        <v>526.02591960107475</v>
      </c>
      <c r="Z13" s="372">
        <f>Evaluación!Z33</f>
        <v>526.02591960107475</v>
      </c>
      <c r="AA13" s="372">
        <f>Evaluación!AA33</f>
        <v>526.02591960107475</v>
      </c>
      <c r="AB13" s="376">
        <f>SUM(C13:AA13)</f>
        <v>11046.544311622565</v>
      </c>
    </row>
    <row r="14" spans="2:28" x14ac:dyDescent="0.2">
      <c r="B14" s="371" t="str">
        <f>Evaluación!B34</f>
        <v>Ingresos debido a Peajes</v>
      </c>
      <c r="C14" s="372">
        <f>Evaluación!C34</f>
        <v>0</v>
      </c>
      <c r="D14" s="372">
        <f>Evaluación!D34</f>
        <v>1309.3395013407701</v>
      </c>
      <c r="E14" s="372">
        <f>Evaluación!E34</f>
        <v>1309.3395013407701</v>
      </c>
      <c r="F14" s="372">
        <f>Evaluación!F34</f>
        <v>1309.3395013407701</v>
      </c>
      <c r="G14" s="372">
        <f>Evaluación!G34</f>
        <v>1309.3395013407701</v>
      </c>
      <c r="H14" s="372">
        <f>Evaluación!H34</f>
        <v>1309.3395013407701</v>
      </c>
      <c r="I14" s="372">
        <f>Evaluación!I34</f>
        <v>1309.3395013407701</v>
      </c>
      <c r="J14" s="372">
        <f>Evaluación!J34</f>
        <v>1309.3395013407701</v>
      </c>
      <c r="K14" s="372">
        <f>Evaluación!K34</f>
        <v>1309.3395013407701</v>
      </c>
      <c r="L14" s="372">
        <f>Evaluación!L34</f>
        <v>1309.3395013407701</v>
      </c>
      <c r="M14" s="372">
        <f>Evaluación!M34</f>
        <v>1309.3395013407701</v>
      </c>
      <c r="N14" s="372">
        <f>Evaluación!N34</f>
        <v>1309.3395013407701</v>
      </c>
      <c r="O14" s="372">
        <f>Evaluación!O34</f>
        <v>1309.3395013407701</v>
      </c>
      <c r="P14" s="372">
        <f>Evaluación!P34</f>
        <v>1309.3395013407701</v>
      </c>
      <c r="Q14" s="372">
        <f>Evaluación!Q34</f>
        <v>1309.3395013407701</v>
      </c>
      <c r="R14" s="372">
        <f>Evaluación!R34</f>
        <v>1309.3395013407701</v>
      </c>
      <c r="S14" s="372">
        <f>Evaluación!S34</f>
        <v>1309.3395013407701</v>
      </c>
      <c r="T14" s="372">
        <f>Evaluación!T34</f>
        <v>1309.3395013407701</v>
      </c>
      <c r="U14" s="372">
        <f>Evaluación!U34</f>
        <v>1309.3395013407701</v>
      </c>
      <c r="V14" s="372">
        <f>Evaluación!V34</f>
        <v>1309.3395013407701</v>
      </c>
      <c r="W14" s="372">
        <f>Evaluación!W34</f>
        <v>1309.3395013407701</v>
      </c>
      <c r="X14" s="372">
        <f>Evaluación!X34</f>
        <v>1309.3395013407701</v>
      </c>
      <c r="Y14" s="372">
        <f>Evaluación!Y34</f>
        <v>1309.3395013407701</v>
      </c>
      <c r="Z14" s="372">
        <f>Evaluación!Z34</f>
        <v>1309.3395013407701</v>
      </c>
      <c r="AA14" s="372">
        <f>Evaluación!AA34</f>
        <v>1309.3395013407701</v>
      </c>
      <c r="AB14" s="376">
        <f>SUM(C14:AA14)</f>
        <v>31424.148032178498</v>
      </c>
    </row>
    <row r="15" spans="2:28" x14ac:dyDescent="0.2">
      <c r="B15" s="371" t="str">
        <f>Evaluación!B35</f>
        <v>AOM Remunerado</v>
      </c>
      <c r="C15" s="372">
        <f>Evaluación!C35</f>
        <v>0</v>
      </c>
      <c r="D15" s="372">
        <f>Evaluación!D35</f>
        <v>0</v>
      </c>
      <c r="E15" s="372">
        <f>Evaluación!E35</f>
        <v>234.05623975384617</v>
      </c>
      <c r="F15" s="372">
        <f>Evaluación!F35</f>
        <v>234.05623975384617</v>
      </c>
      <c r="G15" s="372">
        <f>Evaluación!G35</f>
        <v>234.05623975384617</v>
      </c>
      <c r="H15" s="372">
        <f>Evaluación!H35</f>
        <v>234.05623975384617</v>
      </c>
      <c r="I15" s="372">
        <f>Evaluación!I35</f>
        <v>234.05623975384617</v>
      </c>
      <c r="J15" s="372">
        <f>Evaluación!J35</f>
        <v>234.05623975384617</v>
      </c>
      <c r="K15" s="372">
        <f>Evaluación!K35</f>
        <v>234.05623975384617</v>
      </c>
      <c r="L15" s="372">
        <f>Evaluación!L35</f>
        <v>234.05623975384617</v>
      </c>
      <c r="M15" s="372">
        <f>Evaluación!M35</f>
        <v>234.05623975384617</v>
      </c>
      <c r="N15" s="372">
        <f>Evaluación!N35</f>
        <v>234.05623975384617</v>
      </c>
      <c r="O15" s="372">
        <f>Evaluación!O35</f>
        <v>234.05623975384617</v>
      </c>
      <c r="P15" s="372">
        <f>Evaluación!P35</f>
        <v>234.05623975384617</v>
      </c>
      <c r="Q15" s="372">
        <f>Evaluación!Q35</f>
        <v>234.05623975384617</v>
      </c>
      <c r="R15" s="372">
        <f>Evaluación!R35</f>
        <v>234.05623975384617</v>
      </c>
      <c r="S15" s="372">
        <f>Evaluación!S35</f>
        <v>234.05623975384617</v>
      </c>
      <c r="T15" s="372">
        <f>Evaluación!T35</f>
        <v>234.05623975384617</v>
      </c>
      <c r="U15" s="372">
        <f>Evaluación!U35</f>
        <v>234.05623975384617</v>
      </c>
      <c r="V15" s="372">
        <f>Evaluación!V35</f>
        <v>234.05623975384617</v>
      </c>
      <c r="W15" s="372">
        <f>Evaluación!W35</f>
        <v>234.05623975384617</v>
      </c>
      <c r="X15" s="372">
        <f>Evaluación!X35</f>
        <v>234.05623975384617</v>
      </c>
      <c r="Y15" s="372">
        <f>Evaluación!Y35</f>
        <v>234.05623975384617</v>
      </c>
      <c r="Z15" s="372">
        <f>Evaluación!Z35</f>
        <v>234.05623975384617</v>
      </c>
      <c r="AA15" s="372">
        <f>Evaluación!AA35</f>
        <v>234.05623975384617</v>
      </c>
      <c r="AB15" s="376">
        <f>SUM(C15:AA15)</f>
        <v>5383.2935143384602</v>
      </c>
    </row>
    <row r="16" spans="2:28" x14ac:dyDescent="0.2">
      <c r="B16" s="371" t="str">
        <f>Evaluación!B36</f>
        <v>Ahorro en perdidas técnicas</v>
      </c>
      <c r="C16" s="372">
        <f>Evaluación!C36</f>
        <v>0</v>
      </c>
      <c r="D16" s="372">
        <f>Evaluación!D36</f>
        <v>0</v>
      </c>
      <c r="E16" s="372">
        <f>Evaluación!E36</f>
        <v>3.5604531073198791</v>
      </c>
      <c r="F16" s="372">
        <f>Evaluación!F36</f>
        <v>3.3941576986576671</v>
      </c>
      <c r="G16" s="372">
        <f>Evaluación!G36</f>
        <v>3.2443648384679116</v>
      </c>
      <c r="H16" s="372">
        <f>Evaluación!H36</f>
        <v>3.2443648384679116</v>
      </c>
      <c r="I16" s="372">
        <f>Evaluación!I36</f>
        <v>3.2443648384679116</v>
      </c>
      <c r="J16" s="372">
        <f>Evaluación!J36</f>
        <v>3.2443648384679116</v>
      </c>
      <c r="K16" s="372">
        <f>Evaluación!K36</f>
        <v>3.2443648384679116</v>
      </c>
      <c r="L16" s="372">
        <f>Evaluación!L36</f>
        <v>3.2443648384679116</v>
      </c>
      <c r="M16" s="372">
        <f>Evaluación!M36</f>
        <v>3.2443648384679116</v>
      </c>
      <c r="N16" s="372">
        <f>Evaluación!N36</f>
        <v>3.2443648384679116</v>
      </c>
      <c r="O16" s="372">
        <f>Evaluación!O36</f>
        <v>3.2443648384679116</v>
      </c>
      <c r="P16" s="372">
        <f>Evaluación!P36</f>
        <v>3.2443648384679116</v>
      </c>
      <c r="Q16" s="372">
        <f>Evaluación!Q36</f>
        <v>3.2443648384679116</v>
      </c>
      <c r="R16" s="372">
        <f>Evaluación!R36</f>
        <v>3.2443648384679116</v>
      </c>
      <c r="S16" s="372">
        <f>Evaluación!S36</f>
        <v>3.2443648384679116</v>
      </c>
      <c r="T16" s="372">
        <f>Evaluación!T36</f>
        <v>3.2443648384679116</v>
      </c>
      <c r="U16" s="372">
        <f>Evaluación!U36</f>
        <v>3.2443648384679116</v>
      </c>
      <c r="V16" s="372">
        <f>Evaluación!V36</f>
        <v>3.2443648384679116</v>
      </c>
      <c r="W16" s="372">
        <f>Evaluación!W36</f>
        <v>3.2443648384679116</v>
      </c>
      <c r="X16" s="372">
        <f>Evaluación!X36</f>
        <v>3.2443648384679116</v>
      </c>
      <c r="Y16" s="372">
        <f>Evaluación!Y36</f>
        <v>3.2443648384679116</v>
      </c>
      <c r="Z16" s="372">
        <f>Evaluación!Z36</f>
        <v>3.2443648384679116</v>
      </c>
      <c r="AA16" s="372">
        <f>Evaluación!AA36</f>
        <v>3.2443648384679116</v>
      </c>
      <c r="AB16" s="376">
        <f t="shared" ref="AB16:AB19" si="0">SUM(C16:AA16)</f>
        <v>75.086272413803684</v>
      </c>
    </row>
    <row r="17" spans="2:28" x14ac:dyDescent="0.2">
      <c r="B17" s="371" t="str">
        <f>Evaluación!B37</f>
        <v>Racionamiento por indisponibilidad del transformador</v>
      </c>
      <c r="C17" s="372">
        <f>Evaluación!C37</f>
        <v>1436.5317725008822</v>
      </c>
      <c r="D17" s="372">
        <f>Evaluación!D37</f>
        <v>0</v>
      </c>
      <c r="E17" s="372">
        <f>Evaluación!E37</f>
        <v>0</v>
      </c>
      <c r="F17" s="372">
        <f>Evaluación!F37</f>
        <v>0</v>
      </c>
      <c r="G17" s="372">
        <f>Evaluación!G37</f>
        <v>0</v>
      </c>
      <c r="H17" s="372">
        <f>Evaluación!H37</f>
        <v>0</v>
      </c>
      <c r="I17" s="372">
        <f>Evaluación!I37</f>
        <v>0</v>
      </c>
      <c r="J17" s="372">
        <f>Evaluación!J37</f>
        <v>0</v>
      </c>
      <c r="K17" s="372">
        <f>Evaluación!K37</f>
        <v>0</v>
      </c>
      <c r="L17" s="372">
        <f>Evaluación!L37</f>
        <v>0</v>
      </c>
      <c r="M17" s="372">
        <f>Evaluación!M37</f>
        <v>0</v>
      </c>
      <c r="N17" s="372">
        <f>Evaluación!N37</f>
        <v>0</v>
      </c>
      <c r="O17" s="372">
        <f>Evaluación!O37</f>
        <v>0</v>
      </c>
      <c r="P17" s="372">
        <f>Evaluación!P37</f>
        <v>0</v>
      </c>
      <c r="Q17" s="372">
        <f>Evaluación!Q37</f>
        <v>0</v>
      </c>
      <c r="R17" s="372">
        <f>Evaluación!R37</f>
        <v>0</v>
      </c>
      <c r="S17" s="372">
        <f>Evaluación!S37</f>
        <v>0</v>
      </c>
      <c r="T17" s="372">
        <f>Evaluación!T37</f>
        <v>0</v>
      </c>
      <c r="U17" s="372">
        <f>Evaluación!U37</f>
        <v>0</v>
      </c>
      <c r="V17" s="372">
        <f>Evaluación!V37</f>
        <v>0</v>
      </c>
      <c r="W17" s="372">
        <f>Evaluación!W37</f>
        <v>0</v>
      </c>
      <c r="X17" s="372">
        <f>Evaluación!X37</f>
        <v>0</v>
      </c>
      <c r="Y17" s="372">
        <f>Evaluación!Y37</f>
        <v>0</v>
      </c>
      <c r="Z17" s="372">
        <f>Evaluación!Z37</f>
        <v>0</v>
      </c>
      <c r="AA17" s="372">
        <f>Evaluación!AA37</f>
        <v>0</v>
      </c>
      <c r="AB17" s="376">
        <f t="shared" si="0"/>
        <v>1436.5317725008822</v>
      </c>
    </row>
    <row r="18" spans="2:28" x14ac:dyDescent="0.2">
      <c r="B18" s="371" t="str">
        <f>Evaluación!B38</f>
        <v>Demanda atendida en contingencia</v>
      </c>
      <c r="C18" s="372">
        <f>Evaluación!C38</f>
        <v>0</v>
      </c>
      <c r="D18" s="372">
        <f>Evaluación!D38</f>
        <v>0</v>
      </c>
      <c r="E18" s="372">
        <f>Evaluación!E38</f>
        <v>38.046166761836531</v>
      </c>
      <c r="F18" s="372">
        <f>Evaluación!F38</f>
        <v>38.764018964890042</v>
      </c>
      <c r="G18" s="372">
        <f>Evaluación!G38</f>
        <v>39.481871167943559</v>
      </c>
      <c r="H18" s="372">
        <f>Evaluación!H38</f>
        <v>39.481871167943559</v>
      </c>
      <c r="I18" s="372">
        <f>Evaluación!I38</f>
        <v>39.481871167943559</v>
      </c>
      <c r="J18" s="372">
        <f>Evaluación!J38</f>
        <v>39.481871167943559</v>
      </c>
      <c r="K18" s="372">
        <f>Evaluación!K38</f>
        <v>39.481871167943559</v>
      </c>
      <c r="L18" s="372">
        <f>Evaluación!L38</f>
        <v>39.481871167943559</v>
      </c>
      <c r="M18" s="372">
        <f>Evaluación!M38</f>
        <v>39.481871167943559</v>
      </c>
      <c r="N18" s="372">
        <f>Evaluación!N38</f>
        <v>39.481871167943559</v>
      </c>
      <c r="O18" s="372">
        <f>Evaluación!O38</f>
        <v>39.481871167943559</v>
      </c>
      <c r="P18" s="372">
        <f>Evaluación!P38</f>
        <v>39.481871167943559</v>
      </c>
      <c r="Q18" s="372">
        <f>Evaluación!Q38</f>
        <v>39.481871167943559</v>
      </c>
      <c r="R18" s="372">
        <f>Evaluación!R38</f>
        <v>39.481871167943559</v>
      </c>
      <c r="S18" s="372">
        <f>Evaluación!S38</f>
        <v>39.481871167943559</v>
      </c>
      <c r="T18" s="372">
        <f>Evaluación!T38</f>
        <v>39.481871167943559</v>
      </c>
      <c r="U18" s="372">
        <f>Evaluación!U38</f>
        <v>39.481871167943559</v>
      </c>
      <c r="V18" s="372">
        <f>Evaluación!V38</f>
        <v>39.481871167943559</v>
      </c>
      <c r="W18" s="372">
        <f>Evaluación!W38</f>
        <v>39.481871167943559</v>
      </c>
      <c r="X18" s="372">
        <f>Evaluación!X38</f>
        <v>39.481871167943559</v>
      </c>
      <c r="Y18" s="372">
        <f>Evaluación!Y38</f>
        <v>39.481871167943559</v>
      </c>
      <c r="Z18" s="372">
        <f>Evaluación!Z38</f>
        <v>39.481871167943559</v>
      </c>
      <c r="AA18" s="372">
        <f>Evaluación!AA38</f>
        <v>39.481871167943559</v>
      </c>
      <c r="AB18" s="376">
        <f t="shared" si="0"/>
        <v>905.92948025354178</v>
      </c>
    </row>
    <row r="19" spans="2:28" x14ac:dyDescent="0.2">
      <c r="B19" s="371" t="s">
        <v>1550</v>
      </c>
      <c r="C19" s="372">
        <f>Evaluación!C39</f>
        <v>1436.5317725008822</v>
      </c>
      <c r="D19" s="372">
        <f>Evaluación!D39</f>
        <v>1309.3395013407701</v>
      </c>
      <c r="E19" s="372">
        <f>Evaluación!E39</f>
        <v>1585.0023609637728</v>
      </c>
      <c r="F19" s="372">
        <f>Evaluación!F39</f>
        <v>1585.5539177581641</v>
      </c>
      <c r="G19" s="372">
        <f>Evaluación!G39</f>
        <v>2112.1478967021026</v>
      </c>
      <c r="H19" s="372">
        <f>Evaluación!H39</f>
        <v>2112.1478967021026</v>
      </c>
      <c r="I19" s="372">
        <f>Evaluación!I39</f>
        <v>2112.1478967021026</v>
      </c>
      <c r="J19" s="372">
        <f>Evaluación!J39</f>
        <v>2112.1478967021026</v>
      </c>
      <c r="K19" s="372">
        <f>Evaluación!K39</f>
        <v>2112.1478967021026</v>
      </c>
      <c r="L19" s="372">
        <f>Evaluación!L39</f>
        <v>2112.1478967021026</v>
      </c>
      <c r="M19" s="372">
        <f>Evaluación!M39</f>
        <v>2112.1478967021026</v>
      </c>
      <c r="N19" s="372">
        <f>Evaluación!N39</f>
        <v>2112.1478967021026</v>
      </c>
      <c r="O19" s="372">
        <f>Evaluación!O39</f>
        <v>2112.1478967021026</v>
      </c>
      <c r="P19" s="372">
        <f>Evaluación!P39</f>
        <v>2112.1478967021026</v>
      </c>
      <c r="Q19" s="372">
        <f>Evaluación!Q39</f>
        <v>2112.1478967021026</v>
      </c>
      <c r="R19" s="372">
        <f>Evaluación!R39</f>
        <v>2112.1478967021026</v>
      </c>
      <c r="S19" s="372">
        <f>Evaluación!S39</f>
        <v>2112.1478967021026</v>
      </c>
      <c r="T19" s="372">
        <f>Evaluación!T39</f>
        <v>2112.1478967021026</v>
      </c>
      <c r="U19" s="372">
        <f>Evaluación!U39</f>
        <v>2112.1478967021026</v>
      </c>
      <c r="V19" s="372">
        <f>Evaluación!V39</f>
        <v>2112.1478967021026</v>
      </c>
      <c r="W19" s="372">
        <f>Evaluación!W39</f>
        <v>2112.1478967021026</v>
      </c>
      <c r="X19" s="372">
        <f>Evaluación!X39</f>
        <v>2112.1478967021026</v>
      </c>
      <c r="Y19" s="372">
        <f>Evaluación!Y39</f>
        <v>2112.1478967021026</v>
      </c>
      <c r="Z19" s="372">
        <f>Evaluación!Z39</f>
        <v>2112.1478967021026</v>
      </c>
      <c r="AA19" s="372">
        <f>Evaluación!AA39</f>
        <v>2112.1478967021026</v>
      </c>
      <c r="AB19" s="376">
        <f t="shared" si="0"/>
        <v>50271.533383307753</v>
      </c>
    </row>
    <row r="21" spans="2:28" x14ac:dyDescent="0.2">
      <c r="B21" s="369" t="s">
        <v>965</v>
      </c>
      <c r="C21" s="370">
        <v>1</v>
      </c>
      <c r="D21" s="370">
        <v>2</v>
      </c>
      <c r="E21" s="370">
        <v>3</v>
      </c>
      <c r="F21" s="370">
        <v>4</v>
      </c>
      <c r="G21" s="370">
        <v>5</v>
      </c>
      <c r="H21" s="370">
        <v>6</v>
      </c>
      <c r="I21" s="370">
        <v>7</v>
      </c>
      <c r="J21" s="370">
        <v>8</v>
      </c>
      <c r="K21" s="370">
        <v>9</v>
      </c>
      <c r="L21" s="370">
        <v>10</v>
      </c>
      <c r="M21" s="370">
        <v>11</v>
      </c>
      <c r="N21" s="370">
        <v>12</v>
      </c>
      <c r="O21" s="370">
        <v>13</v>
      </c>
      <c r="P21" s="370">
        <v>14</v>
      </c>
      <c r="Q21" s="370">
        <v>15</v>
      </c>
      <c r="R21" s="370">
        <v>16</v>
      </c>
      <c r="S21" s="370">
        <v>17</v>
      </c>
      <c r="T21" s="370">
        <v>18</v>
      </c>
      <c r="U21" s="370">
        <v>19</v>
      </c>
      <c r="V21" s="370">
        <v>20</v>
      </c>
      <c r="W21" s="370">
        <v>21</v>
      </c>
      <c r="X21" s="370">
        <v>22</v>
      </c>
      <c r="Y21" s="370">
        <v>23</v>
      </c>
      <c r="Z21" s="370">
        <v>24</v>
      </c>
      <c r="AA21" s="370">
        <v>25</v>
      </c>
      <c r="AB21" s="375" t="s">
        <v>1551</v>
      </c>
    </row>
    <row r="22" spans="2:28" x14ac:dyDescent="0.2">
      <c r="B22" s="371" t="str">
        <f>Evaluación!B41</f>
        <v>Flujo Acumulado</v>
      </c>
      <c r="C22" s="372">
        <f>Evaluación!C41</f>
        <v>-4960.9503045075544</v>
      </c>
      <c r="D22" s="372">
        <f>Evaluación!D41</f>
        <v>-9924.5397557004799</v>
      </c>
      <c r="E22" s="372">
        <f>Evaluación!E41</f>
        <v>-8793.2002132702328</v>
      </c>
      <c r="F22" s="372">
        <f>Evaluación!F41</f>
        <v>-7642.5902812541763</v>
      </c>
      <c r="G22" s="372">
        <f>Evaluación!G41</f>
        <v>-5945.4508133713207</v>
      </c>
      <c r="H22" s="372">
        <f>Evaluación!H41</f>
        <v>-4227.079977365619</v>
      </c>
      <c r="I22" s="372">
        <f>Evaluación!I41</f>
        <v>-2486.0977343090863</v>
      </c>
      <c r="J22" s="372">
        <f>Evaluación!J41</f>
        <v>-721.03434274341794</v>
      </c>
      <c r="K22" s="372">
        <f>Evaluación!K41</f>
        <v>1069.6754719844794</v>
      </c>
      <c r="L22" s="372">
        <f>Evaluación!L41</f>
        <v>2887.6987273801506</v>
      </c>
      <c r="M22" s="372">
        <f>Evaluación!M41</f>
        <v>4734.8107970870005</v>
      </c>
      <c r="N22" s="372">
        <f>Evaluación!N41</f>
        <v>6612.9024540352566</v>
      </c>
      <c r="O22" s="372">
        <f>Evaluación!O41</f>
        <v>8490.9941109835127</v>
      </c>
      <c r="P22" s="372">
        <f>Evaluación!P41</f>
        <v>10369.085767931769</v>
      </c>
      <c r="Q22" s="372">
        <f>Evaluación!Q41</f>
        <v>12247.177424880025</v>
      </c>
      <c r="R22" s="372">
        <f>Evaluación!R41</f>
        <v>14125.269081828281</v>
      </c>
      <c r="S22" s="372">
        <f>Evaluación!S41</f>
        <v>16003.360738776537</v>
      </c>
      <c r="T22" s="372">
        <f>Evaluación!T41</f>
        <v>17881.452395724795</v>
      </c>
      <c r="U22" s="372">
        <f>Evaluación!U41</f>
        <v>19759.544052673053</v>
      </c>
      <c r="V22" s="372">
        <f>Evaluación!V41</f>
        <v>21637.635709621311</v>
      </c>
      <c r="W22" s="372">
        <f>Evaluación!W41</f>
        <v>23515.727366569568</v>
      </c>
      <c r="X22" s="372">
        <f>Evaluación!X41</f>
        <v>25393.819023517826</v>
      </c>
      <c r="Y22" s="372">
        <f>Evaluación!Y41</f>
        <v>27271.910680466084</v>
      </c>
      <c r="Z22" s="372">
        <f>Evaluación!Z41</f>
        <v>29150.002337414342</v>
      </c>
      <c r="AA22" s="372">
        <f>Evaluación!AA41</f>
        <v>31028.0939943626</v>
      </c>
      <c r="AB22" s="376">
        <f>SUM(C22:AA22)</f>
        <v>227478.2167127147</v>
      </c>
    </row>
    <row r="23" spans="2:28" x14ac:dyDescent="0.2">
      <c r="B23" s="371" t="str">
        <f>Evaluación!B42</f>
        <v>Años de recuperacion</v>
      </c>
      <c r="C23" s="372">
        <f>Evaluación!C42</f>
        <v>0</v>
      </c>
      <c r="D23" s="372">
        <f>Evaluación!D42</f>
        <v>0</v>
      </c>
      <c r="E23" s="372">
        <f>Evaluación!E42</f>
        <v>0</v>
      </c>
      <c r="F23" s="372">
        <f>Evaluación!F42</f>
        <v>0</v>
      </c>
      <c r="G23" s="372">
        <f>Evaluación!G42</f>
        <v>0</v>
      </c>
      <c r="H23" s="372">
        <f>Evaluación!H42</f>
        <v>0</v>
      </c>
      <c r="I23" s="372">
        <f>Evaluación!I42</f>
        <v>0</v>
      </c>
      <c r="J23" s="372">
        <f>Evaluación!J42</f>
        <v>0</v>
      </c>
      <c r="K23" s="372">
        <f>Evaluación!K42</f>
        <v>9</v>
      </c>
      <c r="L23" s="372">
        <f>Evaluación!L42</f>
        <v>0</v>
      </c>
      <c r="M23" s="372">
        <f>Evaluación!M42</f>
        <v>0</v>
      </c>
      <c r="N23" s="372">
        <f>Evaluación!N42</f>
        <v>0</v>
      </c>
      <c r="O23" s="372">
        <f>Evaluación!O42</f>
        <v>0</v>
      </c>
      <c r="P23" s="372">
        <f>Evaluación!P42</f>
        <v>0</v>
      </c>
      <c r="Q23" s="372">
        <f>Evaluación!Q42</f>
        <v>0</v>
      </c>
      <c r="R23" s="372">
        <f>Evaluación!R42</f>
        <v>0</v>
      </c>
      <c r="S23" s="372">
        <f>Evaluación!S42</f>
        <v>0</v>
      </c>
      <c r="T23" s="372">
        <f>Evaluación!T42</f>
        <v>0</v>
      </c>
      <c r="U23" s="372">
        <f>Evaluación!U42</f>
        <v>0</v>
      </c>
      <c r="V23" s="372">
        <f>Evaluación!V42</f>
        <v>0</v>
      </c>
      <c r="W23" s="372">
        <f>Evaluación!W42</f>
        <v>0</v>
      </c>
      <c r="X23" s="372">
        <f>Evaluación!X42</f>
        <v>0</v>
      </c>
      <c r="Y23" s="372">
        <f>Evaluación!Y42</f>
        <v>0</v>
      </c>
      <c r="Z23" s="372">
        <f>Evaluación!Z42</f>
        <v>0</v>
      </c>
      <c r="AA23" s="372">
        <f>Evaluación!AA42</f>
        <v>0</v>
      </c>
      <c r="AB23" s="376">
        <f>SUM(C23:AA23)</f>
        <v>9</v>
      </c>
    </row>
    <row r="26" spans="2:28" x14ac:dyDescent="0.2">
      <c r="B26" s="373" t="s">
        <v>965</v>
      </c>
      <c r="C26" s="370">
        <v>1</v>
      </c>
      <c r="D26" s="370">
        <v>2</v>
      </c>
      <c r="E26" s="374" t="s">
        <v>1551</v>
      </c>
    </row>
    <row r="27" spans="2:28" x14ac:dyDescent="0.2">
      <c r="B27" s="373" t="s">
        <v>1534</v>
      </c>
      <c r="C27" s="372">
        <v>270</v>
      </c>
      <c r="D27" s="372">
        <v>0</v>
      </c>
      <c r="E27" s="372">
        <f>+C27+D27</f>
        <v>270</v>
      </c>
    </row>
    <row r="28" spans="2:28" x14ac:dyDescent="0.2">
      <c r="B28" s="373" t="s">
        <v>1485</v>
      </c>
      <c r="C28" s="372">
        <v>6127.4820770084361</v>
      </c>
      <c r="D28" s="372">
        <v>6035.7460049357833</v>
      </c>
      <c r="E28" s="372">
        <f>+C28+D28</f>
        <v>12163.22808194422</v>
      </c>
    </row>
    <row r="29" spans="2:28" x14ac:dyDescent="0.2">
      <c r="B29" s="373" t="s">
        <v>45</v>
      </c>
      <c r="C29" s="372">
        <f>+C28+C27</f>
        <v>6397.4820770084361</v>
      </c>
      <c r="D29" s="372">
        <f>+D28+D27</f>
        <v>6035.7460049357833</v>
      </c>
      <c r="E29" s="372">
        <f>+C29+D29</f>
        <v>12433.22808194422</v>
      </c>
    </row>
  </sheetData>
  <pageMargins left="0.7" right="0.7" top="0.75" bottom="0.75" header="0.3" footer="0.3"/>
  <pageSetup orientation="portrait" horizontalDpi="30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Q88"/>
  <sheetViews>
    <sheetView topLeftCell="A6" zoomScale="70" zoomScaleNormal="70" workbookViewId="0">
      <selection activeCell="C21" sqref="C21:P27"/>
    </sheetView>
  </sheetViews>
  <sheetFormatPr baseColWidth="10" defaultRowHeight="12.75" x14ac:dyDescent="0.2"/>
  <cols>
    <col min="1" max="1" width="7.28515625" style="332" customWidth="1"/>
    <col min="2" max="2" width="12.140625" style="332" bestFit="1" customWidth="1"/>
    <col min="3" max="15" width="11.42578125" style="332"/>
    <col min="16" max="16" width="14.140625" style="332" customWidth="1"/>
    <col min="17" max="256" width="11.42578125" style="332"/>
    <col min="257" max="257" width="7.28515625" style="332" customWidth="1"/>
    <col min="258" max="258" width="12.140625" style="332" bestFit="1" customWidth="1"/>
    <col min="259" max="512" width="11.42578125" style="332"/>
    <col min="513" max="513" width="7.28515625" style="332" customWidth="1"/>
    <col min="514" max="514" width="12.140625" style="332" bestFit="1" customWidth="1"/>
    <col min="515" max="768" width="11.42578125" style="332"/>
    <col min="769" max="769" width="7.28515625" style="332" customWidth="1"/>
    <col min="770" max="770" width="12.140625" style="332" bestFit="1" customWidth="1"/>
    <col min="771" max="1024" width="11.42578125" style="332"/>
    <col min="1025" max="1025" width="7.28515625" style="332" customWidth="1"/>
    <col min="1026" max="1026" width="12.140625" style="332" bestFit="1" customWidth="1"/>
    <col min="1027" max="1280" width="11.42578125" style="332"/>
    <col min="1281" max="1281" width="7.28515625" style="332" customWidth="1"/>
    <col min="1282" max="1282" width="12.140625" style="332" bestFit="1" customWidth="1"/>
    <col min="1283" max="1536" width="11.42578125" style="332"/>
    <col min="1537" max="1537" width="7.28515625" style="332" customWidth="1"/>
    <col min="1538" max="1538" width="12.140625" style="332" bestFit="1" customWidth="1"/>
    <col min="1539" max="1792" width="11.42578125" style="332"/>
    <col min="1793" max="1793" width="7.28515625" style="332" customWidth="1"/>
    <col min="1794" max="1794" width="12.140625" style="332" bestFit="1" customWidth="1"/>
    <col min="1795" max="2048" width="11.42578125" style="332"/>
    <col min="2049" max="2049" width="7.28515625" style="332" customWidth="1"/>
    <col min="2050" max="2050" width="12.140625" style="332" bestFit="1" customWidth="1"/>
    <col min="2051" max="2304" width="11.42578125" style="332"/>
    <col min="2305" max="2305" width="7.28515625" style="332" customWidth="1"/>
    <col min="2306" max="2306" width="12.140625" style="332" bestFit="1" customWidth="1"/>
    <col min="2307" max="2560" width="11.42578125" style="332"/>
    <col min="2561" max="2561" width="7.28515625" style="332" customWidth="1"/>
    <col min="2562" max="2562" width="12.140625" style="332" bestFit="1" customWidth="1"/>
    <col min="2563" max="2816" width="11.42578125" style="332"/>
    <col min="2817" max="2817" width="7.28515625" style="332" customWidth="1"/>
    <col min="2818" max="2818" width="12.140625" style="332" bestFit="1" customWidth="1"/>
    <col min="2819" max="3072" width="11.42578125" style="332"/>
    <col min="3073" max="3073" width="7.28515625" style="332" customWidth="1"/>
    <col min="3074" max="3074" width="12.140625" style="332" bestFit="1" customWidth="1"/>
    <col min="3075" max="3328" width="11.42578125" style="332"/>
    <col min="3329" max="3329" width="7.28515625" style="332" customWidth="1"/>
    <col min="3330" max="3330" width="12.140625" style="332" bestFit="1" customWidth="1"/>
    <col min="3331" max="3584" width="11.42578125" style="332"/>
    <col min="3585" max="3585" width="7.28515625" style="332" customWidth="1"/>
    <col min="3586" max="3586" width="12.140625" style="332" bestFit="1" customWidth="1"/>
    <col min="3587" max="3840" width="11.42578125" style="332"/>
    <col min="3841" max="3841" width="7.28515625" style="332" customWidth="1"/>
    <col min="3842" max="3842" width="12.140625" style="332" bestFit="1" customWidth="1"/>
    <col min="3843" max="4096" width="11.42578125" style="332"/>
    <col min="4097" max="4097" width="7.28515625" style="332" customWidth="1"/>
    <col min="4098" max="4098" width="12.140625" style="332" bestFit="1" customWidth="1"/>
    <col min="4099" max="4352" width="11.42578125" style="332"/>
    <col min="4353" max="4353" width="7.28515625" style="332" customWidth="1"/>
    <col min="4354" max="4354" width="12.140625" style="332" bestFit="1" customWidth="1"/>
    <col min="4355" max="4608" width="11.42578125" style="332"/>
    <col min="4609" max="4609" width="7.28515625" style="332" customWidth="1"/>
    <col min="4610" max="4610" width="12.140625" style="332" bestFit="1" customWidth="1"/>
    <col min="4611" max="4864" width="11.42578125" style="332"/>
    <col min="4865" max="4865" width="7.28515625" style="332" customWidth="1"/>
    <col min="4866" max="4866" width="12.140625" style="332" bestFit="1" customWidth="1"/>
    <col min="4867" max="5120" width="11.42578125" style="332"/>
    <col min="5121" max="5121" width="7.28515625" style="332" customWidth="1"/>
    <col min="5122" max="5122" width="12.140625" style="332" bestFit="1" customWidth="1"/>
    <col min="5123" max="5376" width="11.42578125" style="332"/>
    <col min="5377" max="5377" width="7.28515625" style="332" customWidth="1"/>
    <col min="5378" max="5378" width="12.140625" style="332" bestFit="1" customWidth="1"/>
    <col min="5379" max="5632" width="11.42578125" style="332"/>
    <col min="5633" max="5633" width="7.28515625" style="332" customWidth="1"/>
    <col min="5634" max="5634" width="12.140625" style="332" bestFit="1" customWidth="1"/>
    <col min="5635" max="5888" width="11.42578125" style="332"/>
    <col min="5889" max="5889" width="7.28515625" style="332" customWidth="1"/>
    <col min="5890" max="5890" width="12.140625" style="332" bestFit="1" customWidth="1"/>
    <col min="5891" max="6144" width="11.42578125" style="332"/>
    <col min="6145" max="6145" width="7.28515625" style="332" customWidth="1"/>
    <col min="6146" max="6146" width="12.140625" style="332" bestFit="1" customWidth="1"/>
    <col min="6147" max="6400" width="11.42578125" style="332"/>
    <col min="6401" max="6401" width="7.28515625" style="332" customWidth="1"/>
    <col min="6402" max="6402" width="12.140625" style="332" bestFit="1" customWidth="1"/>
    <col min="6403" max="6656" width="11.42578125" style="332"/>
    <col min="6657" max="6657" width="7.28515625" style="332" customWidth="1"/>
    <col min="6658" max="6658" width="12.140625" style="332" bestFit="1" customWidth="1"/>
    <col min="6659" max="6912" width="11.42578125" style="332"/>
    <col min="6913" max="6913" width="7.28515625" style="332" customWidth="1"/>
    <col min="6914" max="6914" width="12.140625" style="332" bestFit="1" customWidth="1"/>
    <col min="6915" max="7168" width="11.42578125" style="332"/>
    <col min="7169" max="7169" width="7.28515625" style="332" customWidth="1"/>
    <col min="7170" max="7170" width="12.140625" style="332" bestFit="1" customWidth="1"/>
    <col min="7171" max="7424" width="11.42578125" style="332"/>
    <col min="7425" max="7425" width="7.28515625" style="332" customWidth="1"/>
    <col min="7426" max="7426" width="12.140625" style="332" bestFit="1" customWidth="1"/>
    <col min="7427" max="7680" width="11.42578125" style="332"/>
    <col min="7681" max="7681" width="7.28515625" style="332" customWidth="1"/>
    <col min="7682" max="7682" width="12.140625" style="332" bestFit="1" customWidth="1"/>
    <col min="7683" max="7936" width="11.42578125" style="332"/>
    <col min="7937" max="7937" width="7.28515625" style="332" customWidth="1"/>
    <col min="7938" max="7938" width="12.140625" style="332" bestFit="1" customWidth="1"/>
    <col min="7939" max="8192" width="11.42578125" style="332"/>
    <col min="8193" max="8193" width="7.28515625" style="332" customWidth="1"/>
    <col min="8194" max="8194" width="12.140625" style="332" bestFit="1" customWidth="1"/>
    <col min="8195" max="8448" width="11.42578125" style="332"/>
    <col min="8449" max="8449" width="7.28515625" style="332" customWidth="1"/>
    <col min="8450" max="8450" width="12.140625" style="332" bestFit="1" customWidth="1"/>
    <col min="8451" max="8704" width="11.42578125" style="332"/>
    <col min="8705" max="8705" width="7.28515625" style="332" customWidth="1"/>
    <col min="8706" max="8706" width="12.140625" style="332" bestFit="1" customWidth="1"/>
    <col min="8707" max="8960" width="11.42578125" style="332"/>
    <col min="8961" max="8961" width="7.28515625" style="332" customWidth="1"/>
    <col min="8962" max="8962" width="12.140625" style="332" bestFit="1" customWidth="1"/>
    <col min="8963" max="9216" width="11.42578125" style="332"/>
    <col min="9217" max="9217" width="7.28515625" style="332" customWidth="1"/>
    <col min="9218" max="9218" width="12.140625" style="332" bestFit="1" customWidth="1"/>
    <col min="9219" max="9472" width="11.42578125" style="332"/>
    <col min="9473" max="9473" width="7.28515625" style="332" customWidth="1"/>
    <col min="9474" max="9474" width="12.140625" style="332" bestFit="1" customWidth="1"/>
    <col min="9475" max="9728" width="11.42578125" style="332"/>
    <col min="9729" max="9729" width="7.28515625" style="332" customWidth="1"/>
    <col min="9730" max="9730" width="12.140625" style="332" bestFit="1" customWidth="1"/>
    <col min="9731" max="9984" width="11.42578125" style="332"/>
    <col min="9985" max="9985" width="7.28515625" style="332" customWidth="1"/>
    <col min="9986" max="9986" width="12.140625" style="332" bestFit="1" customWidth="1"/>
    <col min="9987" max="10240" width="11.42578125" style="332"/>
    <col min="10241" max="10241" width="7.28515625" style="332" customWidth="1"/>
    <col min="10242" max="10242" width="12.140625" style="332" bestFit="1" customWidth="1"/>
    <col min="10243" max="10496" width="11.42578125" style="332"/>
    <col min="10497" max="10497" width="7.28515625" style="332" customWidth="1"/>
    <col min="10498" max="10498" width="12.140625" style="332" bestFit="1" customWidth="1"/>
    <col min="10499" max="10752" width="11.42578125" style="332"/>
    <col min="10753" max="10753" width="7.28515625" style="332" customWidth="1"/>
    <col min="10754" max="10754" width="12.140625" style="332" bestFit="1" customWidth="1"/>
    <col min="10755" max="11008" width="11.42578125" style="332"/>
    <col min="11009" max="11009" width="7.28515625" style="332" customWidth="1"/>
    <col min="11010" max="11010" width="12.140625" style="332" bestFit="1" customWidth="1"/>
    <col min="11011" max="11264" width="11.42578125" style="332"/>
    <col min="11265" max="11265" width="7.28515625" style="332" customWidth="1"/>
    <col min="11266" max="11266" width="12.140625" style="332" bestFit="1" customWidth="1"/>
    <col min="11267" max="11520" width="11.42578125" style="332"/>
    <col min="11521" max="11521" width="7.28515625" style="332" customWidth="1"/>
    <col min="11522" max="11522" width="12.140625" style="332" bestFit="1" customWidth="1"/>
    <col min="11523" max="11776" width="11.42578125" style="332"/>
    <col min="11777" max="11777" width="7.28515625" style="332" customWidth="1"/>
    <col min="11778" max="11778" width="12.140625" style="332" bestFit="1" customWidth="1"/>
    <col min="11779" max="12032" width="11.42578125" style="332"/>
    <col min="12033" max="12033" width="7.28515625" style="332" customWidth="1"/>
    <col min="12034" max="12034" width="12.140625" style="332" bestFit="1" customWidth="1"/>
    <col min="12035" max="12288" width="11.42578125" style="332"/>
    <col min="12289" max="12289" width="7.28515625" style="332" customWidth="1"/>
    <col min="12290" max="12290" width="12.140625" style="332" bestFit="1" customWidth="1"/>
    <col min="12291" max="12544" width="11.42578125" style="332"/>
    <col min="12545" max="12545" width="7.28515625" style="332" customWidth="1"/>
    <col min="12546" max="12546" width="12.140625" style="332" bestFit="1" customWidth="1"/>
    <col min="12547" max="12800" width="11.42578125" style="332"/>
    <col min="12801" max="12801" width="7.28515625" style="332" customWidth="1"/>
    <col min="12802" max="12802" width="12.140625" style="332" bestFit="1" customWidth="1"/>
    <col min="12803" max="13056" width="11.42578125" style="332"/>
    <col min="13057" max="13057" width="7.28515625" style="332" customWidth="1"/>
    <col min="13058" max="13058" width="12.140625" style="332" bestFit="1" customWidth="1"/>
    <col min="13059" max="13312" width="11.42578125" style="332"/>
    <col min="13313" max="13313" width="7.28515625" style="332" customWidth="1"/>
    <col min="13314" max="13314" width="12.140625" style="332" bestFit="1" customWidth="1"/>
    <col min="13315" max="13568" width="11.42578125" style="332"/>
    <col min="13569" max="13569" width="7.28515625" style="332" customWidth="1"/>
    <col min="13570" max="13570" width="12.140625" style="332" bestFit="1" customWidth="1"/>
    <col min="13571" max="13824" width="11.42578125" style="332"/>
    <col min="13825" max="13825" width="7.28515625" style="332" customWidth="1"/>
    <col min="13826" max="13826" width="12.140625" style="332" bestFit="1" customWidth="1"/>
    <col min="13827" max="14080" width="11.42578125" style="332"/>
    <col min="14081" max="14081" width="7.28515625" style="332" customWidth="1"/>
    <col min="14082" max="14082" width="12.140625" style="332" bestFit="1" customWidth="1"/>
    <col min="14083" max="14336" width="11.42578125" style="332"/>
    <col min="14337" max="14337" width="7.28515625" style="332" customWidth="1"/>
    <col min="14338" max="14338" width="12.140625" style="332" bestFit="1" customWidth="1"/>
    <col min="14339" max="14592" width="11.42578125" style="332"/>
    <col min="14593" max="14593" width="7.28515625" style="332" customWidth="1"/>
    <col min="14594" max="14594" width="12.140625" style="332" bestFit="1" customWidth="1"/>
    <col min="14595" max="14848" width="11.42578125" style="332"/>
    <col min="14849" max="14849" width="7.28515625" style="332" customWidth="1"/>
    <col min="14850" max="14850" width="12.140625" style="332" bestFit="1" customWidth="1"/>
    <col min="14851" max="15104" width="11.42578125" style="332"/>
    <col min="15105" max="15105" width="7.28515625" style="332" customWidth="1"/>
    <col min="15106" max="15106" width="12.140625" style="332" bestFit="1" customWidth="1"/>
    <col min="15107" max="15360" width="11.42578125" style="332"/>
    <col min="15361" max="15361" width="7.28515625" style="332" customWidth="1"/>
    <col min="15362" max="15362" width="12.140625" style="332" bestFit="1" customWidth="1"/>
    <col min="15363" max="15616" width="11.42578125" style="332"/>
    <col min="15617" max="15617" width="7.28515625" style="332" customWidth="1"/>
    <col min="15618" max="15618" width="12.140625" style="332" bestFit="1" customWidth="1"/>
    <col min="15619" max="15872" width="11.42578125" style="332"/>
    <col min="15873" max="15873" width="7.28515625" style="332" customWidth="1"/>
    <col min="15874" max="15874" width="12.140625" style="332" bestFit="1" customWidth="1"/>
    <col min="15875" max="16128" width="11.42578125" style="332"/>
    <col min="16129" max="16129" width="7.28515625" style="332" customWidth="1"/>
    <col min="16130" max="16130" width="12.140625" style="332" bestFit="1" customWidth="1"/>
    <col min="16131" max="16384" width="11.42578125" style="332"/>
  </cols>
  <sheetData>
    <row r="1" spans="2:17" ht="13.5" thickBot="1" x14ac:dyDescent="0.25"/>
    <row r="2" spans="2:17" x14ac:dyDescent="0.2">
      <c r="B2" s="333"/>
      <c r="C2" s="334"/>
      <c r="D2" s="334"/>
      <c r="E2" s="334"/>
      <c r="F2" s="334"/>
      <c r="G2" s="334"/>
      <c r="H2" s="334"/>
      <c r="I2" s="334"/>
      <c r="J2" s="334"/>
      <c r="K2" s="334"/>
      <c r="L2" s="334"/>
      <c r="M2" s="334"/>
      <c r="N2" s="334"/>
      <c r="O2" s="334"/>
      <c r="P2" s="334"/>
      <c r="Q2" s="335"/>
    </row>
    <row r="3" spans="2:17" x14ac:dyDescent="0.2">
      <c r="B3" s="336"/>
      <c r="C3" s="337"/>
      <c r="D3" s="337"/>
      <c r="E3" s="337"/>
      <c r="F3" s="337"/>
      <c r="G3" s="337"/>
      <c r="H3" s="337"/>
      <c r="I3" s="337"/>
      <c r="J3" s="337"/>
      <c r="K3" s="337"/>
      <c r="L3" s="337"/>
      <c r="M3" s="337"/>
      <c r="N3" s="337"/>
      <c r="O3" s="337"/>
      <c r="P3" s="337"/>
      <c r="Q3" s="338"/>
    </row>
    <row r="4" spans="2:17" x14ac:dyDescent="0.2">
      <c r="B4" s="336"/>
      <c r="C4" s="337"/>
      <c r="D4" s="337"/>
      <c r="E4" s="337"/>
      <c r="F4" s="337"/>
      <c r="G4" s="337"/>
      <c r="H4" s="337"/>
      <c r="I4" s="337"/>
      <c r="J4" s="337"/>
      <c r="K4" s="337"/>
      <c r="L4" s="337"/>
      <c r="M4" s="337"/>
      <c r="N4" s="337"/>
      <c r="O4" s="337"/>
      <c r="P4" s="337"/>
      <c r="Q4" s="338"/>
    </row>
    <row r="5" spans="2:17" x14ac:dyDescent="0.2">
      <c r="B5" s="336"/>
      <c r="C5" s="337"/>
      <c r="D5" s="337"/>
      <c r="E5" s="337"/>
      <c r="F5" s="337"/>
      <c r="G5" s="337"/>
      <c r="H5" s="337"/>
      <c r="I5" s="337"/>
      <c r="J5" s="337"/>
      <c r="K5" s="337"/>
      <c r="L5" s="337"/>
      <c r="M5" s="337"/>
      <c r="N5" s="337"/>
      <c r="O5" s="337"/>
      <c r="P5" s="337"/>
      <c r="Q5" s="338"/>
    </row>
    <row r="6" spans="2:17" x14ac:dyDescent="0.2">
      <c r="B6" s="336"/>
      <c r="C6" s="337"/>
      <c r="D6" s="337"/>
      <c r="E6" s="337"/>
      <c r="F6" s="337"/>
      <c r="G6" s="337"/>
      <c r="H6" s="337"/>
      <c r="I6" s="337"/>
      <c r="J6" s="337"/>
      <c r="K6" s="337"/>
      <c r="L6" s="337"/>
      <c r="M6" s="337"/>
      <c r="N6" s="337"/>
      <c r="O6" s="337"/>
      <c r="P6" s="337"/>
      <c r="Q6" s="338"/>
    </row>
    <row r="7" spans="2:17" x14ac:dyDescent="0.2">
      <c r="B7" s="336"/>
      <c r="C7" s="337"/>
      <c r="D7" s="337"/>
      <c r="E7" s="337"/>
      <c r="F7" s="337"/>
      <c r="G7" s="337"/>
      <c r="H7" s="337"/>
      <c r="I7" s="337"/>
      <c r="J7" s="337"/>
      <c r="K7" s="337"/>
      <c r="L7" s="337"/>
      <c r="M7" s="337"/>
      <c r="N7" s="337"/>
      <c r="O7" s="337"/>
      <c r="P7" s="337"/>
      <c r="Q7" s="338"/>
    </row>
    <row r="8" spans="2:17" ht="13.5" thickBot="1" x14ac:dyDescent="0.25">
      <c r="B8" s="339"/>
      <c r="C8" s="340"/>
      <c r="D8" s="340"/>
      <c r="E8" s="340"/>
      <c r="F8" s="340"/>
      <c r="G8" s="340"/>
      <c r="H8" s="340"/>
      <c r="I8" s="340"/>
      <c r="J8" s="340"/>
      <c r="K8" s="340"/>
      <c r="L8" s="340"/>
      <c r="M8" s="340"/>
      <c r="N8" s="340"/>
      <c r="O8" s="340"/>
      <c r="P8" s="340"/>
      <c r="Q8" s="341"/>
    </row>
    <row r="9" spans="2:17" ht="13.5" thickBot="1" x14ac:dyDescent="0.25"/>
    <row r="10" spans="2:17" x14ac:dyDescent="0.2">
      <c r="B10" s="333"/>
      <c r="C10" s="334"/>
      <c r="D10" s="334"/>
      <c r="E10" s="334"/>
      <c r="F10" s="334"/>
      <c r="G10" s="334"/>
      <c r="H10" s="334"/>
      <c r="I10" s="334"/>
      <c r="J10" s="334"/>
      <c r="K10" s="334"/>
      <c r="L10" s="334"/>
      <c r="M10" s="334"/>
      <c r="N10" s="334"/>
      <c r="O10" s="334"/>
      <c r="P10" s="334"/>
      <c r="Q10" s="335"/>
    </row>
    <row r="11" spans="2:17" x14ac:dyDescent="0.2">
      <c r="B11" s="336"/>
      <c r="C11" s="337"/>
      <c r="D11" s="337"/>
      <c r="E11" s="337"/>
      <c r="F11" s="337"/>
      <c r="G11" s="337"/>
      <c r="H11" s="337"/>
      <c r="I11" s="337"/>
      <c r="J11" s="337"/>
      <c r="K11" s="337"/>
      <c r="L11" s="337"/>
      <c r="M11" s="337"/>
      <c r="N11" s="337"/>
      <c r="O11" s="337"/>
      <c r="P11" s="337"/>
      <c r="Q11" s="338"/>
    </row>
    <row r="12" spans="2:17" ht="23.25" x14ac:dyDescent="0.35">
      <c r="B12" s="336"/>
      <c r="C12" s="342" t="s">
        <v>948</v>
      </c>
      <c r="D12" s="342"/>
      <c r="E12" s="342"/>
      <c r="F12" s="342"/>
      <c r="G12" s="343"/>
      <c r="H12" s="337"/>
      <c r="I12" s="337"/>
      <c r="J12" s="337"/>
      <c r="K12" s="337"/>
      <c r="L12" s="337"/>
      <c r="M12" s="337"/>
      <c r="N12" s="342"/>
      <c r="O12" s="343"/>
      <c r="P12" s="343"/>
      <c r="Q12" s="338"/>
    </row>
    <row r="13" spans="2:17" ht="12.75" customHeight="1" x14ac:dyDescent="0.2">
      <c r="B13" s="336"/>
      <c r="C13" s="646" t="s">
        <v>1480</v>
      </c>
      <c r="D13" s="646"/>
      <c r="E13" s="646"/>
      <c r="F13" s="646"/>
      <c r="G13" s="646"/>
      <c r="H13" s="646"/>
      <c r="I13" s="646"/>
      <c r="J13" s="646"/>
      <c r="K13" s="646"/>
      <c r="L13" s="646"/>
      <c r="M13" s="646"/>
      <c r="N13" s="646"/>
      <c r="O13" s="646"/>
      <c r="P13" s="646"/>
      <c r="Q13" s="338"/>
    </row>
    <row r="14" spans="2:17" ht="58.5" customHeight="1" x14ac:dyDescent="0.2">
      <c r="B14" s="336"/>
      <c r="C14" s="646"/>
      <c r="D14" s="646"/>
      <c r="E14" s="646"/>
      <c r="F14" s="646"/>
      <c r="G14" s="646"/>
      <c r="H14" s="646"/>
      <c r="I14" s="646"/>
      <c r="J14" s="646"/>
      <c r="K14" s="646"/>
      <c r="L14" s="646"/>
      <c r="M14" s="646"/>
      <c r="N14" s="646"/>
      <c r="O14" s="646"/>
      <c r="P14" s="646"/>
      <c r="Q14" s="338"/>
    </row>
    <row r="15" spans="2:17" x14ac:dyDescent="0.2">
      <c r="B15" s="336"/>
      <c r="C15" s="337"/>
      <c r="D15" s="337"/>
      <c r="E15" s="337"/>
      <c r="F15" s="337"/>
      <c r="G15" s="337"/>
      <c r="H15" s="337"/>
      <c r="I15" s="337"/>
      <c r="J15" s="337"/>
      <c r="K15" s="337"/>
      <c r="L15" s="337"/>
      <c r="M15" s="337"/>
      <c r="N15" s="337"/>
      <c r="O15" s="337"/>
      <c r="P15" s="337"/>
      <c r="Q15" s="338"/>
    </row>
    <row r="16" spans="2:17" x14ac:dyDescent="0.2">
      <c r="B16" s="336"/>
      <c r="C16" s="337"/>
      <c r="D16" s="337"/>
      <c r="E16" s="337"/>
      <c r="F16" s="337"/>
      <c r="G16" s="337"/>
      <c r="H16" s="337"/>
      <c r="I16" s="337"/>
      <c r="J16" s="337"/>
      <c r="K16" s="337"/>
      <c r="L16" s="337"/>
      <c r="M16" s="337"/>
      <c r="N16" s="337"/>
      <c r="O16" s="337"/>
      <c r="P16" s="337"/>
      <c r="Q16" s="338"/>
    </row>
    <row r="17" spans="2:17" x14ac:dyDescent="0.2">
      <c r="B17" s="336"/>
      <c r="C17" s="337"/>
      <c r="D17" s="337"/>
      <c r="E17" s="337"/>
      <c r="F17" s="337"/>
      <c r="G17" s="337"/>
      <c r="H17" s="337"/>
      <c r="I17" s="337"/>
      <c r="J17" s="337"/>
      <c r="K17" s="337"/>
      <c r="L17" s="337"/>
      <c r="M17" s="337"/>
      <c r="N17" s="337"/>
      <c r="O17" s="337"/>
      <c r="P17" s="337"/>
      <c r="Q17" s="338"/>
    </row>
    <row r="18" spans="2:17" ht="23.25" x14ac:dyDescent="0.35">
      <c r="B18" s="336"/>
      <c r="C18" s="344"/>
      <c r="D18" s="344"/>
      <c r="E18" s="344"/>
      <c r="F18" s="344"/>
      <c r="G18" s="344"/>
      <c r="H18" s="344"/>
      <c r="I18" s="344"/>
      <c r="J18" s="344"/>
      <c r="K18" s="344"/>
      <c r="L18" s="344"/>
      <c r="M18" s="344"/>
      <c r="N18" s="345"/>
      <c r="O18" s="345"/>
      <c r="P18" s="346" t="s">
        <v>30</v>
      </c>
      <c r="Q18" s="338"/>
    </row>
    <row r="19" spans="2:17" x14ac:dyDescent="0.2">
      <c r="B19" s="336"/>
      <c r="C19" s="337"/>
      <c r="D19" s="337"/>
      <c r="E19" s="337"/>
      <c r="F19" s="337"/>
      <c r="G19" s="337"/>
      <c r="H19" s="337"/>
      <c r="I19" s="337"/>
      <c r="J19" s="337"/>
      <c r="K19" s="337"/>
      <c r="L19" s="337"/>
      <c r="M19" s="337"/>
      <c r="N19" s="337"/>
      <c r="O19" s="337"/>
      <c r="P19" s="337"/>
      <c r="Q19" s="338"/>
    </row>
    <row r="20" spans="2:17" ht="23.25" x14ac:dyDescent="0.35">
      <c r="B20" s="336"/>
      <c r="C20" s="342" t="s">
        <v>27</v>
      </c>
      <c r="D20" s="337"/>
      <c r="E20" s="337"/>
      <c r="F20" s="337"/>
      <c r="G20" s="337"/>
      <c r="H20" s="337"/>
      <c r="I20" s="337"/>
      <c r="J20" s="337"/>
      <c r="K20" s="337"/>
      <c r="L20" s="337"/>
      <c r="M20" s="337"/>
      <c r="N20" s="337"/>
      <c r="O20" s="337"/>
      <c r="P20" s="337"/>
      <c r="Q20" s="338"/>
    </row>
    <row r="21" spans="2:17" ht="15" customHeight="1" x14ac:dyDescent="0.2">
      <c r="B21" s="336"/>
      <c r="C21" s="637" t="s">
        <v>1531</v>
      </c>
      <c r="D21" s="638"/>
      <c r="E21" s="638"/>
      <c r="F21" s="638"/>
      <c r="G21" s="638"/>
      <c r="H21" s="638"/>
      <c r="I21" s="638"/>
      <c r="J21" s="638"/>
      <c r="K21" s="638"/>
      <c r="L21" s="638"/>
      <c r="M21" s="638"/>
      <c r="N21" s="638"/>
      <c r="O21" s="638"/>
      <c r="P21" s="639"/>
      <c r="Q21" s="338"/>
    </row>
    <row r="22" spans="2:17" ht="15" customHeight="1" x14ac:dyDescent="0.2">
      <c r="B22" s="336"/>
      <c r="C22" s="640"/>
      <c r="D22" s="641"/>
      <c r="E22" s="641"/>
      <c r="F22" s="641"/>
      <c r="G22" s="641"/>
      <c r="H22" s="641"/>
      <c r="I22" s="641"/>
      <c r="J22" s="641"/>
      <c r="K22" s="641"/>
      <c r="L22" s="641"/>
      <c r="M22" s="641"/>
      <c r="N22" s="641"/>
      <c r="O22" s="641"/>
      <c r="P22" s="642"/>
      <c r="Q22" s="338"/>
    </row>
    <row r="23" spans="2:17" ht="15" customHeight="1" x14ac:dyDescent="0.2">
      <c r="B23" s="336"/>
      <c r="C23" s="640"/>
      <c r="D23" s="641"/>
      <c r="E23" s="641"/>
      <c r="F23" s="641"/>
      <c r="G23" s="641"/>
      <c r="H23" s="641"/>
      <c r="I23" s="641"/>
      <c r="J23" s="641"/>
      <c r="K23" s="641"/>
      <c r="L23" s="641"/>
      <c r="M23" s="641"/>
      <c r="N23" s="641"/>
      <c r="O23" s="641"/>
      <c r="P23" s="642"/>
      <c r="Q23" s="338"/>
    </row>
    <row r="24" spans="2:17" ht="15" customHeight="1" x14ac:dyDescent="0.2">
      <c r="B24" s="336"/>
      <c r="C24" s="640"/>
      <c r="D24" s="641"/>
      <c r="E24" s="641"/>
      <c r="F24" s="641"/>
      <c r="G24" s="641"/>
      <c r="H24" s="641"/>
      <c r="I24" s="641"/>
      <c r="J24" s="641"/>
      <c r="K24" s="641"/>
      <c r="L24" s="641"/>
      <c r="M24" s="641"/>
      <c r="N24" s="641"/>
      <c r="O24" s="641"/>
      <c r="P24" s="642"/>
      <c r="Q24" s="338"/>
    </row>
    <row r="25" spans="2:17" ht="15" customHeight="1" x14ac:dyDescent="0.2">
      <c r="B25" s="336"/>
      <c r="C25" s="640"/>
      <c r="D25" s="641"/>
      <c r="E25" s="641"/>
      <c r="F25" s="641"/>
      <c r="G25" s="641"/>
      <c r="H25" s="641"/>
      <c r="I25" s="641"/>
      <c r="J25" s="641"/>
      <c r="K25" s="641"/>
      <c r="L25" s="641"/>
      <c r="M25" s="641"/>
      <c r="N25" s="641"/>
      <c r="O25" s="641"/>
      <c r="P25" s="642"/>
      <c r="Q25" s="338"/>
    </row>
    <row r="26" spans="2:17" ht="15" customHeight="1" x14ac:dyDescent="0.2">
      <c r="B26" s="336"/>
      <c r="C26" s="640"/>
      <c r="D26" s="641"/>
      <c r="E26" s="641"/>
      <c r="F26" s="641"/>
      <c r="G26" s="641"/>
      <c r="H26" s="641"/>
      <c r="I26" s="641"/>
      <c r="J26" s="641"/>
      <c r="K26" s="641"/>
      <c r="L26" s="641"/>
      <c r="M26" s="641"/>
      <c r="N26" s="641"/>
      <c r="O26" s="641"/>
      <c r="P26" s="642"/>
      <c r="Q26" s="338"/>
    </row>
    <row r="27" spans="2:17" ht="111" customHeight="1" x14ac:dyDescent="0.2">
      <c r="B27" s="336"/>
      <c r="C27" s="643"/>
      <c r="D27" s="644"/>
      <c r="E27" s="644"/>
      <c r="F27" s="644"/>
      <c r="G27" s="644"/>
      <c r="H27" s="644"/>
      <c r="I27" s="644"/>
      <c r="J27" s="644"/>
      <c r="K27" s="644"/>
      <c r="L27" s="644"/>
      <c r="M27" s="644"/>
      <c r="N27" s="644"/>
      <c r="O27" s="644"/>
      <c r="P27" s="645"/>
      <c r="Q27" s="338"/>
    </row>
    <row r="28" spans="2:17" x14ac:dyDescent="0.2">
      <c r="B28" s="336"/>
      <c r="C28" s="337"/>
      <c r="D28" s="337"/>
      <c r="E28" s="337"/>
      <c r="F28" s="337"/>
      <c r="G28" s="337"/>
      <c r="H28" s="337"/>
      <c r="I28" s="337"/>
      <c r="J28" s="337"/>
      <c r="K28" s="337"/>
      <c r="L28" s="337"/>
      <c r="M28" s="337"/>
      <c r="N28" s="337"/>
      <c r="O28" s="337"/>
      <c r="P28" s="337"/>
      <c r="Q28" s="338"/>
    </row>
    <row r="29" spans="2:17" ht="23.25" x14ac:dyDescent="0.35">
      <c r="B29" s="336"/>
      <c r="C29" s="342" t="s">
        <v>28</v>
      </c>
      <c r="D29" s="337"/>
      <c r="E29" s="337"/>
      <c r="F29" s="337"/>
      <c r="G29" s="337"/>
      <c r="H29" s="337"/>
      <c r="I29" s="337"/>
      <c r="J29" s="337"/>
      <c r="K29" s="337"/>
      <c r="L29" s="337"/>
      <c r="M29" s="337"/>
      <c r="N29" s="337"/>
      <c r="O29" s="337"/>
      <c r="P29" s="337"/>
      <c r="Q29" s="338"/>
    </row>
    <row r="30" spans="2:17" ht="12.75" customHeight="1" x14ac:dyDescent="0.2">
      <c r="B30" s="336"/>
      <c r="C30" s="637" t="s">
        <v>1532</v>
      </c>
      <c r="D30" s="638"/>
      <c r="E30" s="638"/>
      <c r="F30" s="638"/>
      <c r="G30" s="638"/>
      <c r="H30" s="638"/>
      <c r="I30" s="638"/>
      <c r="J30" s="638"/>
      <c r="K30" s="638"/>
      <c r="L30" s="638"/>
      <c r="M30" s="638"/>
      <c r="N30" s="638"/>
      <c r="O30" s="638"/>
      <c r="P30" s="639"/>
      <c r="Q30" s="338"/>
    </row>
    <row r="31" spans="2:17" ht="12.75" customHeight="1" x14ac:dyDescent="0.2">
      <c r="B31" s="336"/>
      <c r="C31" s="640"/>
      <c r="D31" s="641"/>
      <c r="E31" s="641"/>
      <c r="F31" s="641"/>
      <c r="G31" s="641"/>
      <c r="H31" s="641"/>
      <c r="I31" s="641"/>
      <c r="J31" s="641"/>
      <c r="K31" s="641"/>
      <c r="L31" s="641"/>
      <c r="M31" s="641"/>
      <c r="N31" s="641"/>
      <c r="O31" s="641"/>
      <c r="P31" s="642"/>
      <c r="Q31" s="338"/>
    </row>
    <row r="32" spans="2:17" ht="12.75" customHeight="1" x14ac:dyDescent="0.2">
      <c r="B32" s="336"/>
      <c r="C32" s="640"/>
      <c r="D32" s="641"/>
      <c r="E32" s="641"/>
      <c r="F32" s="641"/>
      <c r="G32" s="641"/>
      <c r="H32" s="641"/>
      <c r="I32" s="641"/>
      <c r="J32" s="641"/>
      <c r="K32" s="641"/>
      <c r="L32" s="641"/>
      <c r="M32" s="641"/>
      <c r="N32" s="641"/>
      <c r="O32" s="641"/>
      <c r="P32" s="642"/>
      <c r="Q32" s="338"/>
    </row>
    <row r="33" spans="2:17" ht="66" customHeight="1" x14ac:dyDescent="0.2">
      <c r="B33" s="336"/>
      <c r="C33" s="643"/>
      <c r="D33" s="644"/>
      <c r="E33" s="644"/>
      <c r="F33" s="644"/>
      <c r="G33" s="644"/>
      <c r="H33" s="644"/>
      <c r="I33" s="644"/>
      <c r="J33" s="644"/>
      <c r="K33" s="644"/>
      <c r="L33" s="644"/>
      <c r="M33" s="644"/>
      <c r="N33" s="644"/>
      <c r="O33" s="644"/>
      <c r="P33" s="645"/>
      <c r="Q33" s="338"/>
    </row>
    <row r="34" spans="2:17" x14ac:dyDescent="0.2">
      <c r="B34" s="336"/>
      <c r="C34" s="337"/>
      <c r="D34" s="337"/>
      <c r="E34" s="337"/>
      <c r="F34" s="337"/>
      <c r="G34" s="337"/>
      <c r="H34" s="337"/>
      <c r="I34" s="337"/>
      <c r="J34" s="337"/>
      <c r="K34" s="337"/>
      <c r="L34" s="337"/>
      <c r="M34" s="337"/>
      <c r="N34" s="337"/>
      <c r="O34" s="337"/>
      <c r="P34" s="337"/>
      <c r="Q34" s="338"/>
    </row>
    <row r="35" spans="2:17" ht="23.25" x14ac:dyDescent="0.35">
      <c r="B35" s="336"/>
      <c r="C35" s="342" t="s">
        <v>29</v>
      </c>
      <c r="D35" s="337"/>
      <c r="E35" s="337"/>
      <c r="F35" s="337"/>
      <c r="G35" s="337"/>
      <c r="H35" s="337"/>
      <c r="I35" s="337"/>
      <c r="J35" s="337"/>
      <c r="K35" s="337"/>
      <c r="L35" s="337"/>
      <c r="M35" s="337"/>
      <c r="N35" s="337"/>
      <c r="O35" s="337"/>
      <c r="P35" s="337"/>
      <c r="Q35" s="338"/>
    </row>
    <row r="36" spans="2:17" ht="12.75" customHeight="1" x14ac:dyDescent="0.2">
      <c r="B36" s="336"/>
      <c r="C36" s="637" t="s">
        <v>1478</v>
      </c>
      <c r="D36" s="638"/>
      <c r="E36" s="638"/>
      <c r="F36" s="638"/>
      <c r="G36" s="638"/>
      <c r="H36" s="638"/>
      <c r="I36" s="638"/>
      <c r="J36" s="638"/>
      <c r="K36" s="638"/>
      <c r="L36" s="638"/>
      <c r="M36" s="638"/>
      <c r="N36" s="638"/>
      <c r="O36" s="638"/>
      <c r="P36" s="639"/>
      <c r="Q36" s="338"/>
    </row>
    <row r="37" spans="2:17" ht="6.75" customHeight="1" x14ac:dyDescent="0.2">
      <c r="B37" s="336"/>
      <c r="C37" s="640"/>
      <c r="D37" s="641"/>
      <c r="E37" s="641"/>
      <c r="F37" s="641"/>
      <c r="G37" s="641"/>
      <c r="H37" s="641"/>
      <c r="I37" s="641"/>
      <c r="J37" s="641"/>
      <c r="K37" s="641"/>
      <c r="L37" s="641"/>
      <c r="M37" s="641"/>
      <c r="N37" s="641"/>
      <c r="O37" s="641"/>
      <c r="P37" s="642"/>
      <c r="Q37" s="338"/>
    </row>
    <row r="38" spans="2:17" ht="12.75" customHeight="1" x14ac:dyDescent="0.2">
      <c r="B38" s="336"/>
      <c r="C38" s="640"/>
      <c r="D38" s="641"/>
      <c r="E38" s="641"/>
      <c r="F38" s="641"/>
      <c r="G38" s="641"/>
      <c r="H38" s="641"/>
      <c r="I38" s="641"/>
      <c r="J38" s="641"/>
      <c r="K38" s="641"/>
      <c r="L38" s="641"/>
      <c r="M38" s="641"/>
      <c r="N38" s="641"/>
      <c r="O38" s="641"/>
      <c r="P38" s="642"/>
      <c r="Q38" s="338"/>
    </row>
    <row r="39" spans="2:17" ht="12.75" customHeight="1" x14ac:dyDescent="0.2">
      <c r="B39" s="336"/>
      <c r="C39" s="640"/>
      <c r="D39" s="641"/>
      <c r="E39" s="641"/>
      <c r="F39" s="641"/>
      <c r="G39" s="641"/>
      <c r="H39" s="641"/>
      <c r="I39" s="641"/>
      <c r="J39" s="641"/>
      <c r="K39" s="641"/>
      <c r="L39" s="641"/>
      <c r="M39" s="641"/>
      <c r="N39" s="641"/>
      <c r="O39" s="641"/>
      <c r="P39" s="642"/>
      <c r="Q39" s="338"/>
    </row>
    <row r="40" spans="2:17" ht="12.75" customHeight="1" x14ac:dyDescent="0.2">
      <c r="B40" s="336"/>
      <c r="C40" s="643"/>
      <c r="D40" s="644"/>
      <c r="E40" s="644"/>
      <c r="F40" s="644"/>
      <c r="G40" s="644"/>
      <c r="H40" s="644"/>
      <c r="I40" s="644"/>
      <c r="J40" s="644"/>
      <c r="K40" s="644"/>
      <c r="L40" s="644"/>
      <c r="M40" s="644"/>
      <c r="N40" s="644"/>
      <c r="O40" s="644"/>
      <c r="P40" s="645"/>
      <c r="Q40" s="338"/>
    </row>
    <row r="41" spans="2:17" x14ac:dyDescent="0.2">
      <c r="B41" s="336"/>
      <c r="C41" s="337"/>
      <c r="D41" s="337"/>
      <c r="E41" s="337"/>
      <c r="F41" s="337"/>
      <c r="G41" s="337"/>
      <c r="H41" s="337"/>
      <c r="I41" s="337"/>
      <c r="J41" s="337"/>
      <c r="K41" s="337"/>
      <c r="L41" s="337"/>
      <c r="M41" s="337"/>
      <c r="N41" s="337"/>
      <c r="O41" s="337"/>
      <c r="P41" s="337"/>
      <c r="Q41" s="338"/>
    </row>
    <row r="42" spans="2:17" ht="23.25" x14ac:dyDescent="0.35">
      <c r="B42" s="336"/>
      <c r="C42" s="342" t="s">
        <v>31</v>
      </c>
      <c r="D42" s="337"/>
      <c r="E42" s="337"/>
      <c r="F42" s="337"/>
      <c r="G42" s="337"/>
      <c r="H42" s="337"/>
      <c r="I42" s="337"/>
      <c r="J42" s="337"/>
      <c r="K42" s="337"/>
      <c r="L42" s="337"/>
      <c r="M42" s="337"/>
      <c r="N42" s="337"/>
      <c r="O42" s="337"/>
      <c r="P42" s="337"/>
      <c r="Q42" s="338"/>
    </row>
    <row r="43" spans="2:17" ht="12.75" customHeight="1" x14ac:dyDescent="0.2">
      <c r="B43" s="336"/>
      <c r="C43" s="631" t="s">
        <v>1479</v>
      </c>
      <c r="D43" s="632"/>
      <c r="E43" s="632"/>
      <c r="F43" s="632"/>
      <c r="G43" s="632"/>
      <c r="H43" s="632"/>
      <c r="I43" s="632"/>
      <c r="J43" s="632"/>
      <c r="K43" s="632"/>
      <c r="L43" s="632"/>
      <c r="M43" s="632"/>
      <c r="N43" s="632"/>
      <c r="O43" s="632"/>
      <c r="P43" s="633"/>
      <c r="Q43" s="338"/>
    </row>
    <row r="44" spans="2:17" ht="12.75" customHeight="1" x14ac:dyDescent="0.2">
      <c r="B44" s="336"/>
      <c r="C44" s="634"/>
      <c r="D44" s="635"/>
      <c r="E44" s="635"/>
      <c r="F44" s="635"/>
      <c r="G44" s="635"/>
      <c r="H44" s="635"/>
      <c r="I44" s="635"/>
      <c r="J44" s="635"/>
      <c r="K44" s="635"/>
      <c r="L44" s="635"/>
      <c r="M44" s="635"/>
      <c r="N44" s="635"/>
      <c r="O44" s="635"/>
      <c r="P44" s="636"/>
      <c r="Q44" s="338"/>
    </row>
    <row r="45" spans="2:17" x14ac:dyDescent="0.2">
      <c r="B45" s="336"/>
      <c r="C45" s="337"/>
      <c r="D45" s="337"/>
      <c r="E45" s="337"/>
      <c r="F45" s="337"/>
      <c r="G45" s="337"/>
      <c r="H45" s="337"/>
      <c r="I45" s="337"/>
      <c r="J45" s="337"/>
      <c r="K45" s="337"/>
      <c r="L45" s="337"/>
      <c r="M45" s="337"/>
      <c r="N45" s="337"/>
      <c r="O45" s="337"/>
      <c r="P45" s="337"/>
      <c r="Q45" s="338"/>
    </row>
    <row r="46" spans="2:17" x14ac:dyDescent="0.2">
      <c r="B46" s="336"/>
      <c r="C46" s="337"/>
      <c r="D46" s="337"/>
      <c r="E46" s="337"/>
      <c r="F46" s="337"/>
      <c r="G46" s="337"/>
      <c r="H46" s="337"/>
      <c r="I46" s="337"/>
      <c r="J46" s="337"/>
      <c r="K46" s="337"/>
      <c r="L46" s="337"/>
      <c r="M46" s="337"/>
      <c r="N46" s="337"/>
      <c r="O46" s="337"/>
      <c r="P46" s="337"/>
      <c r="Q46" s="338"/>
    </row>
    <row r="47" spans="2:17" x14ac:dyDescent="0.2">
      <c r="B47" s="336"/>
      <c r="C47" s="337"/>
      <c r="D47" s="337"/>
      <c r="E47" s="337"/>
      <c r="F47" s="337"/>
      <c r="G47" s="337"/>
      <c r="H47" s="337"/>
      <c r="I47" s="337"/>
      <c r="J47" s="337"/>
      <c r="K47" s="337"/>
      <c r="L47" s="337"/>
      <c r="M47" s="337"/>
      <c r="N47" s="337"/>
      <c r="O47" s="337"/>
      <c r="P47" s="337"/>
      <c r="Q47" s="338"/>
    </row>
    <row r="48" spans="2:17" ht="23.25" x14ac:dyDescent="0.35">
      <c r="B48" s="336"/>
      <c r="C48" s="344"/>
      <c r="D48" s="344"/>
      <c r="E48" s="344"/>
      <c r="F48" s="344"/>
      <c r="G48" s="344"/>
      <c r="H48" s="344"/>
      <c r="I48" s="344"/>
      <c r="J48" s="344"/>
      <c r="K48" s="344"/>
      <c r="L48" s="344"/>
      <c r="M48" s="344"/>
      <c r="N48" s="345"/>
      <c r="O48" s="345"/>
      <c r="P48" s="346" t="s">
        <v>34</v>
      </c>
      <c r="Q48" s="338"/>
    </row>
    <row r="49" spans="2:17" x14ac:dyDescent="0.2">
      <c r="B49" s="336"/>
      <c r="C49" s="337"/>
      <c r="D49" s="337"/>
      <c r="E49" s="337"/>
      <c r="F49" s="337"/>
      <c r="G49" s="337"/>
      <c r="H49" s="337"/>
      <c r="I49" s="337"/>
      <c r="J49" s="337"/>
      <c r="K49" s="337"/>
      <c r="L49" s="337"/>
      <c r="M49" s="337"/>
      <c r="N49" s="337"/>
      <c r="O49" s="337"/>
      <c r="P49" s="337"/>
      <c r="Q49" s="338"/>
    </row>
    <row r="50" spans="2:17" ht="23.25" x14ac:dyDescent="0.35">
      <c r="B50" s="336"/>
      <c r="C50" s="342" t="s">
        <v>32</v>
      </c>
      <c r="D50" s="337"/>
      <c r="E50" s="337"/>
      <c r="F50" s="337"/>
      <c r="G50" s="337"/>
      <c r="H50" s="337"/>
      <c r="I50" s="337"/>
      <c r="J50" s="337"/>
      <c r="K50" s="337"/>
      <c r="L50" s="337"/>
      <c r="M50" s="337"/>
      <c r="N50" s="337"/>
      <c r="O50" s="337"/>
      <c r="P50" s="337"/>
      <c r="Q50" s="338"/>
    </row>
    <row r="51" spans="2:17" ht="15" customHeight="1" x14ac:dyDescent="0.2">
      <c r="B51" s="336"/>
      <c r="C51" s="637" t="s">
        <v>1530</v>
      </c>
      <c r="D51" s="662"/>
      <c r="E51" s="662"/>
      <c r="F51" s="662"/>
      <c r="G51" s="662"/>
      <c r="H51" s="662"/>
      <c r="I51" s="662"/>
      <c r="J51" s="662"/>
      <c r="K51" s="662"/>
      <c r="L51" s="662"/>
      <c r="M51" s="662"/>
      <c r="N51" s="662"/>
      <c r="O51" s="662"/>
      <c r="P51" s="663"/>
      <c r="Q51" s="338"/>
    </row>
    <row r="52" spans="2:17" ht="15" customHeight="1" x14ac:dyDescent="0.2">
      <c r="B52" s="336"/>
      <c r="C52" s="664"/>
      <c r="D52" s="665"/>
      <c r="E52" s="665"/>
      <c r="F52" s="665"/>
      <c r="G52" s="665"/>
      <c r="H52" s="665"/>
      <c r="I52" s="665"/>
      <c r="J52" s="665"/>
      <c r="K52" s="665"/>
      <c r="L52" s="665"/>
      <c r="M52" s="665"/>
      <c r="N52" s="665"/>
      <c r="O52" s="665"/>
      <c r="P52" s="666"/>
      <c r="Q52" s="338"/>
    </row>
    <row r="53" spans="2:17" ht="15" customHeight="1" x14ac:dyDescent="0.2">
      <c r="B53" s="336"/>
      <c r="C53" s="667"/>
      <c r="D53" s="668"/>
      <c r="E53" s="668"/>
      <c r="F53" s="668"/>
      <c r="G53" s="668"/>
      <c r="H53" s="668"/>
      <c r="I53" s="668"/>
      <c r="J53" s="668"/>
      <c r="K53" s="668"/>
      <c r="L53" s="668"/>
      <c r="M53" s="668"/>
      <c r="N53" s="668"/>
      <c r="O53" s="668"/>
      <c r="P53" s="669"/>
      <c r="Q53" s="338"/>
    </row>
    <row r="54" spans="2:17" x14ac:dyDescent="0.2">
      <c r="B54" s="336"/>
      <c r="C54" s="337"/>
      <c r="D54" s="337"/>
      <c r="E54" s="337"/>
      <c r="F54" s="337"/>
      <c r="G54" s="337"/>
      <c r="H54" s="337"/>
      <c r="I54" s="337"/>
      <c r="J54" s="337"/>
      <c r="K54" s="337"/>
      <c r="L54" s="337"/>
      <c r="M54" s="337"/>
      <c r="N54" s="337"/>
      <c r="O54" s="337"/>
      <c r="P54" s="337"/>
      <c r="Q54" s="338"/>
    </row>
    <row r="55" spans="2:17" ht="23.25" x14ac:dyDescent="0.35">
      <c r="B55" s="336"/>
      <c r="C55" s="342" t="s">
        <v>33</v>
      </c>
      <c r="D55" s="337"/>
      <c r="E55" s="337"/>
      <c r="F55" s="337"/>
      <c r="G55" s="337"/>
      <c r="H55" s="337"/>
      <c r="I55" s="337"/>
      <c r="J55" s="337"/>
      <c r="K55" s="337"/>
      <c r="L55" s="337"/>
      <c r="M55" s="337"/>
      <c r="N55" s="337"/>
      <c r="O55" s="337"/>
      <c r="P55" s="337"/>
      <c r="Q55" s="338"/>
    </row>
    <row r="56" spans="2:17" ht="15" customHeight="1" x14ac:dyDescent="0.2">
      <c r="B56" s="336"/>
      <c r="C56" s="637" t="s">
        <v>1533</v>
      </c>
      <c r="D56" s="638"/>
      <c r="E56" s="638"/>
      <c r="F56" s="638"/>
      <c r="G56" s="638"/>
      <c r="H56" s="638"/>
      <c r="I56" s="638"/>
      <c r="J56" s="638"/>
      <c r="K56" s="638"/>
      <c r="L56" s="638"/>
      <c r="M56" s="638"/>
      <c r="N56" s="638"/>
      <c r="O56" s="638"/>
      <c r="P56" s="639"/>
      <c r="Q56" s="338"/>
    </row>
    <row r="57" spans="2:17" ht="15" customHeight="1" x14ac:dyDescent="0.2">
      <c r="B57" s="336"/>
      <c r="C57" s="640"/>
      <c r="D57" s="641"/>
      <c r="E57" s="641"/>
      <c r="F57" s="641"/>
      <c r="G57" s="641"/>
      <c r="H57" s="641"/>
      <c r="I57" s="641"/>
      <c r="J57" s="641"/>
      <c r="K57" s="641"/>
      <c r="L57" s="641"/>
      <c r="M57" s="641"/>
      <c r="N57" s="641"/>
      <c r="O57" s="641"/>
      <c r="P57" s="642"/>
      <c r="Q57" s="338"/>
    </row>
    <row r="58" spans="2:17" ht="15" customHeight="1" x14ac:dyDescent="0.2">
      <c r="B58" s="336"/>
      <c r="C58" s="640"/>
      <c r="D58" s="641"/>
      <c r="E58" s="641"/>
      <c r="F58" s="641"/>
      <c r="G58" s="641"/>
      <c r="H58" s="641"/>
      <c r="I58" s="641"/>
      <c r="J58" s="641"/>
      <c r="K58" s="641"/>
      <c r="L58" s="641"/>
      <c r="M58" s="641"/>
      <c r="N58" s="641"/>
      <c r="O58" s="641"/>
      <c r="P58" s="642"/>
      <c r="Q58" s="338"/>
    </row>
    <row r="59" spans="2:17" ht="15" customHeight="1" x14ac:dyDescent="0.2">
      <c r="B59" s="336"/>
      <c r="C59" s="640"/>
      <c r="D59" s="641"/>
      <c r="E59" s="641"/>
      <c r="F59" s="641"/>
      <c r="G59" s="641"/>
      <c r="H59" s="641"/>
      <c r="I59" s="641"/>
      <c r="J59" s="641"/>
      <c r="K59" s="641"/>
      <c r="L59" s="641"/>
      <c r="M59" s="641"/>
      <c r="N59" s="641"/>
      <c r="O59" s="641"/>
      <c r="P59" s="642"/>
      <c r="Q59" s="338"/>
    </row>
    <row r="60" spans="2:17" ht="9" customHeight="1" x14ac:dyDescent="0.2">
      <c r="B60" s="336"/>
      <c r="C60" s="640"/>
      <c r="D60" s="641"/>
      <c r="E60" s="641"/>
      <c r="F60" s="641"/>
      <c r="G60" s="641"/>
      <c r="H60" s="641"/>
      <c r="I60" s="641"/>
      <c r="J60" s="641"/>
      <c r="K60" s="641"/>
      <c r="L60" s="641"/>
      <c r="M60" s="641"/>
      <c r="N60" s="641"/>
      <c r="O60" s="641"/>
      <c r="P60" s="642"/>
      <c r="Q60" s="338"/>
    </row>
    <row r="61" spans="2:17" ht="30" customHeight="1" x14ac:dyDescent="0.2">
      <c r="B61" s="336"/>
      <c r="C61" s="643"/>
      <c r="D61" s="644"/>
      <c r="E61" s="644"/>
      <c r="F61" s="644"/>
      <c r="G61" s="644"/>
      <c r="H61" s="644"/>
      <c r="I61" s="644"/>
      <c r="J61" s="644"/>
      <c r="K61" s="644"/>
      <c r="L61" s="644"/>
      <c r="M61" s="644"/>
      <c r="N61" s="644"/>
      <c r="O61" s="644"/>
      <c r="P61" s="645"/>
      <c r="Q61" s="338"/>
    </row>
    <row r="62" spans="2:17" x14ac:dyDescent="0.2">
      <c r="B62" s="336"/>
      <c r="C62" s="337"/>
      <c r="D62" s="337"/>
      <c r="E62" s="337"/>
      <c r="F62" s="337"/>
      <c r="G62" s="337"/>
      <c r="H62" s="337"/>
      <c r="I62" s="337"/>
      <c r="J62" s="337"/>
      <c r="K62" s="337"/>
      <c r="L62" s="337"/>
      <c r="M62" s="337"/>
      <c r="N62" s="337"/>
      <c r="O62" s="337"/>
      <c r="P62" s="337"/>
      <c r="Q62" s="338"/>
    </row>
    <row r="63" spans="2:17" x14ac:dyDescent="0.2">
      <c r="B63" s="336"/>
      <c r="C63" s="337"/>
      <c r="D63" s="337"/>
      <c r="E63" s="337"/>
      <c r="F63" s="337"/>
      <c r="G63" s="337"/>
      <c r="H63" s="337"/>
      <c r="I63" s="337"/>
      <c r="J63" s="337"/>
      <c r="K63" s="337"/>
      <c r="L63" s="337"/>
      <c r="M63" s="337"/>
      <c r="N63" s="337"/>
      <c r="O63" s="337"/>
      <c r="P63" s="337"/>
      <c r="Q63" s="338"/>
    </row>
    <row r="64" spans="2:17" x14ac:dyDescent="0.2">
      <c r="B64" s="336"/>
      <c r="C64" s="337"/>
      <c r="D64" s="337"/>
      <c r="E64" s="337"/>
      <c r="F64" s="337"/>
      <c r="G64" s="337"/>
      <c r="H64" s="337"/>
      <c r="I64" s="337"/>
      <c r="J64" s="337"/>
      <c r="K64" s="337"/>
      <c r="L64" s="337"/>
      <c r="M64" s="337"/>
      <c r="N64" s="337"/>
      <c r="O64" s="337"/>
      <c r="P64" s="337"/>
      <c r="Q64" s="338"/>
    </row>
    <row r="65" spans="2:17" ht="23.25" x14ac:dyDescent="0.35">
      <c r="B65" s="336"/>
      <c r="C65" s="344"/>
      <c r="D65" s="344"/>
      <c r="E65" s="344"/>
      <c r="F65" s="344"/>
      <c r="G65" s="344"/>
      <c r="H65" s="344"/>
      <c r="I65" s="344"/>
      <c r="J65" s="344"/>
      <c r="K65" s="344"/>
      <c r="L65" s="344"/>
      <c r="M65" s="344"/>
      <c r="N65" s="345"/>
      <c r="O65" s="345"/>
      <c r="P65" s="346" t="s">
        <v>35</v>
      </c>
      <c r="Q65" s="338"/>
    </row>
    <row r="66" spans="2:17" x14ac:dyDescent="0.2">
      <c r="B66" s="336"/>
      <c r="C66" s="337"/>
      <c r="D66" s="337"/>
      <c r="E66" s="337"/>
      <c r="F66" s="337"/>
      <c r="G66" s="337"/>
      <c r="H66" s="337"/>
      <c r="I66" s="337"/>
      <c r="J66" s="337"/>
      <c r="K66" s="337"/>
      <c r="L66" s="337"/>
      <c r="M66" s="337"/>
      <c r="N66" s="337"/>
      <c r="O66" s="337"/>
      <c r="P66" s="337"/>
      <c r="Q66" s="338"/>
    </row>
    <row r="67" spans="2:17" ht="23.25" x14ac:dyDescent="0.35">
      <c r="B67" s="336"/>
      <c r="C67" s="342" t="s">
        <v>1016</v>
      </c>
      <c r="D67" s="337"/>
      <c r="E67" s="337"/>
      <c r="F67" s="337"/>
      <c r="G67" s="337"/>
      <c r="H67" s="342" t="s">
        <v>1017</v>
      </c>
      <c r="I67" s="337"/>
      <c r="J67" s="337"/>
      <c r="K67" s="337"/>
      <c r="L67" s="337"/>
      <c r="M67" s="342" t="s">
        <v>1013</v>
      </c>
      <c r="N67" s="337"/>
      <c r="O67" s="337"/>
      <c r="P67" s="337"/>
      <c r="Q67" s="338"/>
    </row>
    <row r="68" spans="2:17" ht="15" customHeight="1" x14ac:dyDescent="0.3">
      <c r="B68" s="336"/>
      <c r="C68" s="670">
        <f>'Beneficios Peaje'!AE49</f>
        <v>1</v>
      </c>
      <c r="D68" s="671"/>
      <c r="E68" s="671"/>
      <c r="F68" s="672"/>
      <c r="G68" s="349"/>
      <c r="H68" s="670">
        <f>'Beneficios Peaje'!AF49</f>
        <v>2</v>
      </c>
      <c r="I68" s="671"/>
      <c r="J68" s="671"/>
      <c r="K68" s="672"/>
      <c r="L68" s="349"/>
      <c r="M68" s="670">
        <f>ABS(H68-C68+1)</f>
        <v>2</v>
      </c>
      <c r="N68" s="671"/>
      <c r="O68" s="671"/>
      <c r="P68" s="672"/>
      <c r="Q68" s="338"/>
    </row>
    <row r="69" spans="2:17" ht="15" customHeight="1" x14ac:dyDescent="0.3">
      <c r="B69" s="336"/>
      <c r="C69" s="673"/>
      <c r="D69" s="674"/>
      <c r="E69" s="674"/>
      <c r="F69" s="675"/>
      <c r="G69" s="349"/>
      <c r="H69" s="673"/>
      <c r="I69" s="674"/>
      <c r="J69" s="674"/>
      <c r="K69" s="675"/>
      <c r="L69" s="349"/>
      <c r="M69" s="673"/>
      <c r="N69" s="674"/>
      <c r="O69" s="674"/>
      <c r="P69" s="675"/>
      <c r="Q69" s="338"/>
    </row>
    <row r="70" spans="2:17" ht="15" customHeight="1" x14ac:dyDescent="0.2">
      <c r="B70" s="336"/>
      <c r="C70" s="337"/>
      <c r="D70" s="337"/>
      <c r="E70" s="337"/>
      <c r="F70" s="337"/>
      <c r="G70" s="337"/>
      <c r="H70" s="337"/>
      <c r="I70" s="337"/>
      <c r="J70" s="337"/>
      <c r="K70" s="337"/>
      <c r="L70" s="337"/>
      <c r="M70" s="337"/>
      <c r="N70" s="337"/>
      <c r="O70" s="337"/>
      <c r="P70" s="337"/>
      <c r="Q70" s="338"/>
    </row>
    <row r="71" spans="2:17" ht="15" customHeight="1" x14ac:dyDescent="0.2">
      <c r="B71" s="336"/>
      <c r="C71" s="337"/>
      <c r="D71" s="337"/>
      <c r="E71" s="337"/>
      <c r="F71" s="337"/>
      <c r="G71" s="337"/>
      <c r="H71" s="337"/>
      <c r="I71" s="337"/>
      <c r="J71" s="337"/>
      <c r="K71" s="337"/>
      <c r="L71" s="337"/>
      <c r="M71" s="337"/>
      <c r="N71" s="337"/>
      <c r="O71" s="337"/>
      <c r="P71" s="337"/>
      <c r="Q71" s="338"/>
    </row>
    <row r="72" spans="2:17" ht="15" customHeight="1" x14ac:dyDescent="0.2">
      <c r="B72" s="336"/>
      <c r="C72" s="337"/>
      <c r="D72" s="337"/>
      <c r="E72" s="337"/>
      <c r="F72" s="337"/>
      <c r="G72" s="337"/>
      <c r="H72" s="337"/>
      <c r="I72" s="337"/>
      <c r="J72" s="337"/>
      <c r="K72" s="337"/>
      <c r="L72" s="337"/>
      <c r="M72" s="337"/>
      <c r="N72" s="337"/>
      <c r="O72" s="337"/>
      <c r="P72" s="337"/>
      <c r="Q72" s="338"/>
    </row>
    <row r="73" spans="2:17" ht="23.25" x14ac:dyDescent="0.35">
      <c r="B73" s="336"/>
      <c r="C73" s="344"/>
      <c r="D73" s="344"/>
      <c r="E73" s="344"/>
      <c r="F73" s="344"/>
      <c r="G73" s="344"/>
      <c r="H73" s="344"/>
      <c r="I73" s="344"/>
      <c r="J73" s="344"/>
      <c r="K73" s="344"/>
      <c r="L73" s="344"/>
      <c r="M73" s="344"/>
      <c r="N73" s="345"/>
      <c r="O73" s="345"/>
      <c r="P73" s="346" t="s">
        <v>36</v>
      </c>
      <c r="Q73" s="338"/>
    </row>
    <row r="74" spans="2:17" x14ac:dyDescent="0.2">
      <c r="B74" s="336"/>
      <c r="C74" s="337"/>
      <c r="D74" s="337"/>
      <c r="E74" s="337"/>
      <c r="F74" s="337"/>
      <c r="G74" s="337"/>
      <c r="H74" s="337"/>
      <c r="I74" s="337"/>
      <c r="J74" s="337"/>
      <c r="K74" s="337"/>
      <c r="L74" s="337"/>
      <c r="M74" s="337"/>
      <c r="N74" s="337"/>
      <c r="O74" s="337"/>
      <c r="P74" s="337"/>
      <c r="Q74" s="338"/>
    </row>
    <row r="75" spans="2:17" ht="23.25" x14ac:dyDescent="0.35">
      <c r="B75" s="336"/>
      <c r="C75" s="347" t="s">
        <v>949</v>
      </c>
      <c r="D75" s="348"/>
      <c r="E75" s="348"/>
      <c r="F75" s="337"/>
      <c r="G75" s="337"/>
      <c r="H75" s="337"/>
      <c r="I75" s="337"/>
      <c r="J75" s="337"/>
      <c r="K75" s="337"/>
      <c r="L75" s="337"/>
      <c r="M75" s="337"/>
      <c r="N75" s="337"/>
      <c r="O75" s="337"/>
      <c r="P75" s="337"/>
      <c r="Q75" s="338"/>
    </row>
    <row r="76" spans="2:17" x14ac:dyDescent="0.2">
      <c r="B76" s="336"/>
      <c r="C76" s="337"/>
      <c r="D76" s="337"/>
      <c r="E76" s="337"/>
      <c r="F76" s="337"/>
      <c r="G76" s="337"/>
      <c r="H76" s="337"/>
      <c r="I76" s="337"/>
      <c r="J76" s="337"/>
      <c r="K76" s="337"/>
      <c r="L76" s="337"/>
      <c r="M76" s="337"/>
      <c r="N76" s="337"/>
      <c r="O76" s="337"/>
      <c r="P76" s="337"/>
      <c r="Q76" s="338"/>
    </row>
    <row r="77" spans="2:17" ht="23.25" x14ac:dyDescent="0.35">
      <c r="B77" s="336"/>
      <c r="C77" s="342" t="s">
        <v>41</v>
      </c>
      <c r="D77" s="337"/>
      <c r="E77" s="337"/>
      <c r="F77" s="342" t="s">
        <v>42</v>
      </c>
      <c r="G77" s="337"/>
      <c r="H77" s="337"/>
      <c r="I77" s="342" t="s">
        <v>43</v>
      </c>
      <c r="J77" s="337"/>
      <c r="K77" s="337"/>
      <c r="L77" s="342" t="s">
        <v>44</v>
      </c>
      <c r="M77" s="337"/>
      <c r="N77" s="337"/>
      <c r="O77" s="342" t="s">
        <v>45</v>
      </c>
      <c r="P77" s="337"/>
      <c r="Q77" s="338"/>
    </row>
    <row r="78" spans="2:17" ht="15" customHeight="1" x14ac:dyDescent="0.3">
      <c r="B78" s="336"/>
      <c r="C78" s="647">
        <f>SUM(Evaluación!C73:C76)</f>
        <v>6397482077.0084362</v>
      </c>
      <c r="D78" s="649"/>
      <c r="E78" s="349"/>
      <c r="F78" s="647">
        <f>SUM(Evaluación!D73:D76)</f>
        <v>6272928952.5336952</v>
      </c>
      <c r="G78" s="649"/>
      <c r="H78" s="349"/>
      <c r="I78" s="647">
        <f>SUM(Evaluación!E73:E76)</f>
        <v>219606578.7796793</v>
      </c>
      <c r="J78" s="649"/>
      <c r="K78" s="349"/>
      <c r="L78" s="647">
        <f>SUM(Evaluación!F73:F76)</f>
        <v>200887745.98826116</v>
      </c>
      <c r="M78" s="649"/>
      <c r="N78" s="349"/>
      <c r="O78" s="647">
        <f>SUM(C78:M79)</f>
        <v>13090905354.310072</v>
      </c>
      <c r="P78" s="649"/>
      <c r="Q78" s="338"/>
    </row>
    <row r="79" spans="2:17" ht="15" customHeight="1" x14ac:dyDescent="0.3">
      <c r="B79" s="336"/>
      <c r="C79" s="650"/>
      <c r="D79" s="652"/>
      <c r="E79" s="349"/>
      <c r="F79" s="650"/>
      <c r="G79" s="652"/>
      <c r="H79" s="349"/>
      <c r="I79" s="650"/>
      <c r="J79" s="652"/>
      <c r="K79" s="349"/>
      <c r="L79" s="650"/>
      <c r="M79" s="652"/>
      <c r="N79" s="349"/>
      <c r="O79" s="650"/>
      <c r="P79" s="652"/>
      <c r="Q79" s="338"/>
    </row>
    <row r="80" spans="2:17" ht="15" customHeight="1" x14ac:dyDescent="0.2">
      <c r="B80" s="336"/>
      <c r="C80" s="337"/>
      <c r="D80" s="337"/>
      <c r="E80" s="337"/>
      <c r="F80" s="337"/>
      <c r="G80" s="337"/>
      <c r="H80" s="337"/>
      <c r="I80" s="337"/>
      <c r="J80" s="337"/>
      <c r="K80" s="337"/>
      <c r="L80" s="337"/>
      <c r="M80" s="337"/>
      <c r="N80" s="337"/>
      <c r="O80" s="337"/>
      <c r="P80" s="337"/>
      <c r="Q80" s="338"/>
    </row>
    <row r="81" spans="2:17" ht="15" customHeight="1" x14ac:dyDescent="0.2">
      <c r="B81" s="336"/>
      <c r="C81" s="337"/>
      <c r="D81" s="337"/>
      <c r="E81" s="337"/>
      <c r="F81" s="337"/>
      <c r="G81" s="337"/>
      <c r="H81" s="337"/>
      <c r="I81" s="337"/>
      <c r="J81" s="337"/>
      <c r="K81" s="337"/>
      <c r="L81" s="337"/>
      <c r="M81" s="337"/>
      <c r="N81" s="337"/>
      <c r="O81" s="337"/>
      <c r="P81" s="337"/>
      <c r="Q81" s="338"/>
    </row>
    <row r="82" spans="2:17" ht="23.25" x14ac:dyDescent="0.35">
      <c r="B82" s="336"/>
      <c r="C82" s="347" t="s">
        <v>38</v>
      </c>
      <c r="D82" s="348"/>
      <c r="E82" s="348"/>
      <c r="F82" s="337"/>
      <c r="G82" s="337"/>
      <c r="H82" s="337"/>
      <c r="I82" s="337"/>
      <c r="J82" s="337"/>
      <c r="K82" s="337"/>
      <c r="L82" s="337"/>
      <c r="M82" s="337"/>
      <c r="N82" s="337"/>
      <c r="O82" s="337"/>
      <c r="P82" s="337"/>
      <c r="Q82" s="338"/>
    </row>
    <row r="83" spans="2:17" x14ac:dyDescent="0.2">
      <c r="B83" s="336"/>
      <c r="C83" s="337"/>
      <c r="D83" s="337"/>
      <c r="E83" s="337"/>
      <c r="F83" s="337"/>
      <c r="G83" s="337"/>
      <c r="H83" s="337"/>
      <c r="I83" s="337"/>
      <c r="J83" s="337"/>
      <c r="K83" s="337"/>
      <c r="L83" s="337"/>
      <c r="M83" s="337"/>
      <c r="N83" s="337"/>
      <c r="O83" s="337"/>
      <c r="P83" s="337"/>
      <c r="Q83" s="338"/>
    </row>
    <row r="84" spans="2:17" ht="23.25" x14ac:dyDescent="0.35">
      <c r="B84" s="336"/>
      <c r="C84" s="342" t="s">
        <v>9</v>
      </c>
      <c r="D84" s="337"/>
      <c r="E84" s="337"/>
      <c r="H84" s="342"/>
      <c r="I84" s="342" t="s">
        <v>10</v>
      </c>
      <c r="J84" s="337"/>
      <c r="L84" s="342" t="s">
        <v>1014</v>
      </c>
      <c r="M84" s="337"/>
      <c r="O84" s="342" t="s">
        <v>49</v>
      </c>
      <c r="P84" s="337"/>
      <c r="Q84" s="338"/>
    </row>
    <row r="85" spans="2:17" ht="15" customHeight="1" x14ac:dyDescent="0.3">
      <c r="B85" s="336"/>
      <c r="C85" s="647">
        <f>Evaluación!B19*1000000</f>
        <v>524374403.25052011</v>
      </c>
      <c r="D85" s="648"/>
      <c r="E85" s="648"/>
      <c r="F85" s="648"/>
      <c r="G85" s="649"/>
      <c r="H85" s="349"/>
      <c r="I85" s="653">
        <f>Evaluación!B20</f>
        <v>0.14672840824211275</v>
      </c>
      <c r="J85" s="654"/>
      <c r="K85" s="350"/>
      <c r="L85" s="657">
        <f>Evaluación!B21</f>
        <v>1.0375320855420249</v>
      </c>
      <c r="M85" s="658"/>
      <c r="N85" s="350"/>
      <c r="O85" s="661">
        <f>Evaluación!B22</f>
        <v>9</v>
      </c>
      <c r="P85" s="658"/>
      <c r="Q85" s="338"/>
    </row>
    <row r="86" spans="2:17" ht="15" customHeight="1" x14ac:dyDescent="0.3">
      <c r="B86" s="336"/>
      <c r="C86" s="650"/>
      <c r="D86" s="651"/>
      <c r="E86" s="651"/>
      <c r="F86" s="651"/>
      <c r="G86" s="652"/>
      <c r="H86" s="351"/>
      <c r="I86" s="655"/>
      <c r="J86" s="656"/>
      <c r="K86" s="350"/>
      <c r="L86" s="659"/>
      <c r="M86" s="660"/>
      <c r="N86" s="350"/>
      <c r="O86" s="659"/>
      <c r="P86" s="660"/>
      <c r="Q86" s="338"/>
    </row>
    <row r="87" spans="2:17" ht="12.75" customHeight="1" x14ac:dyDescent="0.35">
      <c r="B87" s="336"/>
      <c r="C87" s="337"/>
      <c r="D87" s="337"/>
      <c r="E87" s="337"/>
      <c r="F87" s="337"/>
      <c r="G87" s="337"/>
      <c r="H87" s="342"/>
      <c r="I87" s="337"/>
      <c r="J87" s="337"/>
      <c r="K87" s="337"/>
      <c r="L87" s="337"/>
      <c r="M87" s="337"/>
      <c r="N87" s="337"/>
      <c r="O87" s="337"/>
      <c r="P87" s="337"/>
      <c r="Q87" s="338"/>
    </row>
    <row r="88" spans="2:17" ht="13.5" thickBot="1" x14ac:dyDescent="0.25">
      <c r="B88" s="339"/>
      <c r="C88" s="340"/>
      <c r="D88" s="340"/>
      <c r="E88" s="340"/>
      <c r="F88" s="340"/>
      <c r="G88" s="340"/>
      <c r="H88" s="340"/>
      <c r="I88" s="340"/>
      <c r="J88" s="340"/>
      <c r="K88" s="340"/>
      <c r="L88" s="340"/>
      <c r="M88" s="340"/>
      <c r="N88" s="340"/>
      <c r="O88" s="340"/>
      <c r="P88" s="340"/>
      <c r="Q88" s="341"/>
    </row>
  </sheetData>
  <mergeCells count="19">
    <mergeCell ref="C85:G86"/>
    <mergeCell ref="I85:J86"/>
    <mergeCell ref="L85:M86"/>
    <mergeCell ref="O85:P86"/>
    <mergeCell ref="C51:P53"/>
    <mergeCell ref="C56:P61"/>
    <mergeCell ref="C68:F69"/>
    <mergeCell ref="H68:K69"/>
    <mergeCell ref="M68:P69"/>
    <mergeCell ref="C78:D79"/>
    <mergeCell ref="F78:G79"/>
    <mergeCell ref="I78:J79"/>
    <mergeCell ref="L78:M79"/>
    <mergeCell ref="O78:P79"/>
    <mergeCell ref="C43:P44"/>
    <mergeCell ref="C21:P27"/>
    <mergeCell ref="C30:P33"/>
    <mergeCell ref="C36:P40"/>
    <mergeCell ref="C13:P14"/>
  </mergeCells>
  <printOptions horizontalCentered="1" verticalCentered="1"/>
  <pageMargins left="0.23622047244094491" right="0.23622047244094491" top="0.74803149606299213" bottom="0.74803149606299213" header="0.31496062992125984" footer="0.31496062992125984"/>
  <pageSetup scale="35"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AB77"/>
  <sheetViews>
    <sheetView showGridLines="0" zoomScale="68" zoomScaleNormal="68" workbookViewId="0">
      <selection sqref="A1:XFD1048576"/>
    </sheetView>
  </sheetViews>
  <sheetFormatPr baseColWidth="10" defaultRowHeight="12.75" outlineLevelCol="1" x14ac:dyDescent="0.25"/>
  <cols>
    <col min="1" max="1" width="57.42578125" style="3" bestFit="1" customWidth="1"/>
    <col min="2" max="2" width="35" style="5" customWidth="1"/>
    <col min="3" max="10" width="20.140625" style="3" customWidth="1"/>
    <col min="11" max="13" width="20.140625" style="3" customWidth="1" outlineLevel="1"/>
    <col min="14" max="27" width="8.7109375" style="3" customWidth="1" outlineLevel="1"/>
    <col min="28" max="28" width="13.42578125" style="15" bestFit="1" customWidth="1"/>
    <col min="29" max="16384" width="11.42578125" style="3"/>
  </cols>
  <sheetData>
    <row r="2" spans="1:5" ht="12.75" customHeight="1" x14ac:dyDescent="0.25">
      <c r="A2" s="2" t="s">
        <v>0</v>
      </c>
      <c r="B2" s="607" t="str">
        <f>'Beneficios Peaje'!C15</f>
        <v>PROYECTO DE MEJORA DE LA CALIDAD DEL SERVICIO DE ENERGÍA ELÉCTRICA Y DE LOS ÍNDICES DE CONFIABILIDAD A LOS USUARIOS DEL NORTE DEL CAUCA A TRAVÉS DEL CAMBIO DE LA TOPOLOGÍA DE LA RED</v>
      </c>
      <c r="C2" s="607"/>
    </row>
    <row r="3" spans="1:5" x14ac:dyDescent="0.25">
      <c r="B3" s="607"/>
      <c r="C3" s="607"/>
    </row>
    <row r="4" spans="1:5" x14ac:dyDescent="0.25">
      <c r="B4" s="607"/>
      <c r="C4" s="607"/>
    </row>
    <row r="5" spans="1:5" x14ac:dyDescent="0.25">
      <c r="B5" s="607"/>
      <c r="C5" s="607"/>
    </row>
    <row r="6" spans="1:5" x14ac:dyDescent="0.25">
      <c r="B6" s="607"/>
      <c r="C6" s="607"/>
    </row>
    <row r="7" spans="1:5" x14ac:dyDescent="0.25">
      <c r="B7" s="607"/>
      <c r="C7" s="607"/>
    </row>
    <row r="8" spans="1:5" x14ac:dyDescent="0.25">
      <c r="B8" s="607"/>
      <c r="C8" s="607"/>
    </row>
    <row r="9" spans="1:5" x14ac:dyDescent="0.25">
      <c r="B9" s="607"/>
      <c r="C9" s="607"/>
    </row>
    <row r="10" spans="1:5" x14ac:dyDescent="0.25">
      <c r="B10" s="607"/>
      <c r="C10" s="607"/>
    </row>
    <row r="11" spans="1:5" x14ac:dyDescent="0.25">
      <c r="B11" s="607"/>
      <c r="C11" s="607"/>
    </row>
    <row r="13" spans="1:5" ht="31.5" customHeight="1" thickBot="1" x14ac:dyDescent="0.3">
      <c r="A13" s="608" t="s">
        <v>12</v>
      </c>
      <c r="B13" s="609"/>
    </row>
    <row r="14" spans="1:5" x14ac:dyDescent="0.25">
      <c r="A14" s="28" t="s">
        <v>1</v>
      </c>
      <c r="B14" s="29">
        <v>1</v>
      </c>
      <c r="E14" s="6"/>
    </row>
    <row r="15" spans="1:5" x14ac:dyDescent="0.25">
      <c r="A15" s="30" t="s">
        <v>2</v>
      </c>
      <c r="B15" s="31">
        <v>0.13900000000000001</v>
      </c>
      <c r="C15" s="43"/>
    </row>
    <row r="16" spans="1:5" ht="13.5" thickBot="1" x14ac:dyDescent="0.3">
      <c r="A16" s="32" t="s">
        <v>3</v>
      </c>
      <c r="B16" s="40">
        <v>3.04E-2</v>
      </c>
    </row>
    <row r="17" spans="1:28" ht="13.5" thickBot="1" x14ac:dyDescent="0.3">
      <c r="B17" s="4"/>
    </row>
    <row r="18" spans="1:28" x14ac:dyDescent="0.25">
      <c r="A18" s="33" t="s">
        <v>18</v>
      </c>
      <c r="B18" s="34"/>
      <c r="C18" s="116"/>
    </row>
    <row r="19" spans="1:28" x14ac:dyDescent="0.25">
      <c r="A19" s="35" t="s">
        <v>37</v>
      </c>
      <c r="B19" s="355">
        <f>C40+NPV(B15,D40:AA40)</f>
        <v>524.37440325052012</v>
      </c>
    </row>
    <row r="20" spans="1:28" x14ac:dyDescent="0.25">
      <c r="A20" s="35" t="s">
        <v>39</v>
      </c>
      <c r="B20" s="37">
        <f>IFERROR(IRR(C40:AA40),"No retorno")</f>
        <v>0.14672840824211275</v>
      </c>
    </row>
    <row r="21" spans="1:28" x14ac:dyDescent="0.25">
      <c r="A21" s="35" t="s">
        <v>40</v>
      </c>
      <c r="B21" s="38">
        <f>IFERROR((C39+NPV(B15,D39:AA39))/(C32+NPV(B15,D32:AA32)),"No hay beneficio")</f>
        <v>1.0375320855420249</v>
      </c>
    </row>
    <row r="22" spans="1:28" ht="13.5" thickBot="1" x14ac:dyDescent="0.3">
      <c r="A22" s="36" t="s">
        <v>48</v>
      </c>
      <c r="B22" s="39">
        <f>AB42</f>
        <v>9</v>
      </c>
      <c r="C22" s="15"/>
    </row>
    <row r="23" spans="1:28" x14ac:dyDescent="0.25">
      <c r="C23" s="15"/>
    </row>
    <row r="25" spans="1:28" ht="14.25" x14ac:dyDescent="0.25">
      <c r="A25" s="610" t="s">
        <v>11</v>
      </c>
      <c r="B25" s="611"/>
      <c r="C25" s="611"/>
      <c r="D25" s="611"/>
      <c r="E25" s="611"/>
      <c r="F25" s="611"/>
      <c r="G25" s="611"/>
      <c r="H25" s="611"/>
      <c r="I25" s="611"/>
      <c r="J25" s="611"/>
      <c r="K25" s="611"/>
      <c r="L25" s="611"/>
      <c r="M25" s="611"/>
      <c r="N25" s="611"/>
      <c r="O25" s="611"/>
      <c r="P25" s="611"/>
      <c r="Q25" s="611"/>
      <c r="R25" s="611"/>
      <c r="S25" s="611"/>
      <c r="T25" s="611"/>
      <c r="U25" s="611"/>
      <c r="V25" s="611"/>
      <c r="W25" s="611"/>
      <c r="X25" s="611"/>
      <c r="Y25" s="611"/>
      <c r="Z25" s="611"/>
      <c r="AA25" s="611"/>
      <c r="AB25" s="612"/>
    </row>
    <row r="26" spans="1:28" s="7" customFormat="1" x14ac:dyDescent="0.25">
      <c r="A26" s="613" t="s">
        <v>1529</v>
      </c>
      <c r="B26" s="613"/>
      <c r="C26" s="615" t="s">
        <v>47</v>
      </c>
      <c r="D26" s="616"/>
      <c r="E26" s="616"/>
      <c r="F26" s="616"/>
      <c r="G26" s="616"/>
      <c r="H26" s="616"/>
      <c r="I26" s="616"/>
      <c r="J26" s="616"/>
      <c r="K26" s="616"/>
      <c r="L26" s="616"/>
      <c r="M26" s="616"/>
      <c r="N26" s="616"/>
      <c r="O26" s="616"/>
      <c r="P26" s="616"/>
      <c r="Q26" s="616"/>
      <c r="R26" s="616"/>
      <c r="S26" s="616"/>
      <c r="T26" s="616"/>
      <c r="U26" s="616"/>
      <c r="V26" s="616"/>
      <c r="W26" s="616"/>
      <c r="X26" s="616"/>
      <c r="Y26" s="616"/>
      <c r="Z26" s="616"/>
      <c r="AA26" s="617"/>
      <c r="AB26" s="618" t="s">
        <v>8</v>
      </c>
    </row>
    <row r="27" spans="1:28" s="7" customFormat="1" x14ac:dyDescent="0.25">
      <c r="A27" s="614"/>
      <c r="B27" s="614"/>
      <c r="C27" s="1">
        <v>1</v>
      </c>
      <c r="D27" s="1">
        <v>2</v>
      </c>
      <c r="E27" s="1">
        <v>3</v>
      </c>
      <c r="F27" s="1">
        <v>4</v>
      </c>
      <c r="G27" s="1">
        <v>5</v>
      </c>
      <c r="H27" s="1">
        <v>6</v>
      </c>
      <c r="I27" s="1">
        <v>7</v>
      </c>
      <c r="J27" s="1">
        <v>8</v>
      </c>
      <c r="K27" s="1">
        <v>9</v>
      </c>
      <c r="L27" s="1">
        <v>10</v>
      </c>
      <c r="M27" s="1">
        <v>11</v>
      </c>
      <c r="N27" s="1">
        <v>12</v>
      </c>
      <c r="O27" s="1">
        <v>13</v>
      </c>
      <c r="P27" s="1">
        <v>14</v>
      </c>
      <c r="Q27" s="1">
        <v>15</v>
      </c>
      <c r="R27" s="1">
        <v>16</v>
      </c>
      <c r="S27" s="1">
        <v>17</v>
      </c>
      <c r="T27" s="1">
        <v>18</v>
      </c>
      <c r="U27" s="1">
        <v>19</v>
      </c>
      <c r="V27" s="1">
        <v>20</v>
      </c>
      <c r="W27" s="1">
        <v>21</v>
      </c>
      <c r="X27" s="1">
        <v>22</v>
      </c>
      <c r="Y27" s="1">
        <v>23</v>
      </c>
      <c r="Z27" s="1">
        <v>24</v>
      </c>
      <c r="AA27" s="1">
        <v>25</v>
      </c>
      <c r="AB27" s="619"/>
    </row>
    <row r="28" spans="1:28" s="7" customFormat="1" ht="25.5" customHeight="1" x14ac:dyDescent="0.25">
      <c r="A28" s="620" t="s">
        <v>24</v>
      </c>
      <c r="B28" s="362" t="s">
        <v>1534</v>
      </c>
      <c r="C28" s="20">
        <f>Preinversion!C11</f>
        <v>270</v>
      </c>
      <c r="D28" s="20"/>
      <c r="E28" s="20"/>
      <c r="F28" s="20"/>
      <c r="G28" s="20"/>
      <c r="H28" s="20"/>
      <c r="I28" s="20"/>
      <c r="J28" s="20"/>
      <c r="K28" s="20"/>
      <c r="L28" s="20"/>
      <c r="M28" s="20"/>
      <c r="N28" s="20"/>
      <c r="O28" s="20"/>
      <c r="P28" s="20"/>
      <c r="Q28" s="20"/>
      <c r="R28" s="20"/>
      <c r="S28" s="20"/>
      <c r="T28" s="20"/>
      <c r="U28" s="20"/>
      <c r="V28" s="20"/>
      <c r="W28" s="20"/>
      <c r="X28" s="20"/>
      <c r="Y28" s="20"/>
      <c r="Z28" s="20"/>
      <c r="AA28" s="104"/>
      <c r="AB28" s="186">
        <f>C28+NPV($B$15,D28:AA28)</f>
        <v>270</v>
      </c>
    </row>
    <row r="29" spans="1:28" s="7" customFormat="1" ht="25.5" customHeight="1" x14ac:dyDescent="0.25">
      <c r="A29" s="621"/>
      <c r="B29" s="362" t="s">
        <v>1485</v>
      </c>
      <c r="C29" s="20">
        <f>SUM(C73,C75)/1000000</f>
        <v>6127.4820770084361</v>
      </c>
      <c r="D29" s="20">
        <f>SUM(D73:D75)/1000000</f>
        <v>6035.7460049357833</v>
      </c>
      <c r="E29" s="20">
        <f>SUM(E73:E75)/1000000</f>
        <v>0</v>
      </c>
      <c r="F29" s="20">
        <f>SUM(F73:F75)/1000000</f>
        <v>0</v>
      </c>
      <c r="G29" s="20">
        <v>0</v>
      </c>
      <c r="H29" s="20">
        <f>G29</f>
        <v>0</v>
      </c>
      <c r="I29" s="20">
        <f t="shared" ref="I29:Z29" si="0">H29</f>
        <v>0</v>
      </c>
      <c r="J29" s="20">
        <f t="shared" si="0"/>
        <v>0</v>
      </c>
      <c r="K29" s="20">
        <f t="shared" si="0"/>
        <v>0</v>
      </c>
      <c r="L29" s="20">
        <f t="shared" si="0"/>
        <v>0</v>
      </c>
      <c r="M29" s="20">
        <f t="shared" si="0"/>
        <v>0</v>
      </c>
      <c r="N29" s="20">
        <f t="shared" si="0"/>
        <v>0</v>
      </c>
      <c r="O29" s="20">
        <f t="shared" si="0"/>
        <v>0</v>
      </c>
      <c r="P29" s="20">
        <f t="shared" si="0"/>
        <v>0</v>
      </c>
      <c r="Q29" s="20">
        <f t="shared" si="0"/>
        <v>0</v>
      </c>
      <c r="R29" s="20">
        <f t="shared" si="0"/>
        <v>0</v>
      </c>
      <c r="S29" s="20">
        <f t="shared" si="0"/>
        <v>0</v>
      </c>
      <c r="T29" s="20">
        <f t="shared" si="0"/>
        <v>0</v>
      </c>
      <c r="U29" s="20">
        <f t="shared" si="0"/>
        <v>0</v>
      </c>
      <c r="V29" s="20">
        <f t="shared" si="0"/>
        <v>0</v>
      </c>
      <c r="W29" s="20">
        <f t="shared" si="0"/>
        <v>0</v>
      </c>
      <c r="X29" s="20">
        <f t="shared" si="0"/>
        <v>0</v>
      </c>
      <c r="Y29" s="20">
        <f t="shared" si="0"/>
        <v>0</v>
      </c>
      <c r="Z29" s="20">
        <f t="shared" si="0"/>
        <v>0</v>
      </c>
      <c r="AA29" s="104">
        <f>Z29</f>
        <v>0</v>
      </c>
      <c r="AB29" s="186">
        <f>C29+NPV($B$15,D29:AA29)</f>
        <v>11426.644504520098</v>
      </c>
    </row>
    <row r="30" spans="1:28" s="7" customFormat="1" ht="25.5" customHeight="1" x14ac:dyDescent="0.25">
      <c r="A30" s="621"/>
      <c r="B30" s="363" t="s">
        <v>1535</v>
      </c>
      <c r="C30" s="20"/>
      <c r="D30" s="20">
        <f>D76/1000000</f>
        <v>237.18294759791229</v>
      </c>
      <c r="E30" s="20">
        <f t="shared" ref="E30:AA30" si="1">E76/1000000</f>
        <v>219.6065787796793</v>
      </c>
      <c r="F30" s="20">
        <f t="shared" si="1"/>
        <v>200.88774598826117</v>
      </c>
      <c r="G30" s="20">
        <f t="shared" si="1"/>
        <v>180.95218906540086</v>
      </c>
      <c r="H30" s="20">
        <f t="shared" si="1"/>
        <v>159.72082094255464</v>
      </c>
      <c r="I30" s="20">
        <f t="shared" si="1"/>
        <v>137.10941389172342</v>
      </c>
      <c r="J30" s="20">
        <f t="shared" si="1"/>
        <v>113.02826538258815</v>
      </c>
      <c r="K30" s="20">
        <f t="shared" si="1"/>
        <v>87.381842220359104</v>
      </c>
      <c r="L30" s="20">
        <f t="shared" si="1"/>
        <v>60.068401552585151</v>
      </c>
      <c r="M30" s="20">
        <f t="shared" si="1"/>
        <v>30.979587241405902</v>
      </c>
      <c r="N30" s="20">
        <f t="shared" si="1"/>
        <v>0</v>
      </c>
      <c r="O30" s="20">
        <f t="shared" si="1"/>
        <v>0</v>
      </c>
      <c r="P30" s="20">
        <f t="shared" si="1"/>
        <v>0</v>
      </c>
      <c r="Q30" s="20">
        <f t="shared" si="1"/>
        <v>0</v>
      </c>
      <c r="R30" s="20">
        <f t="shared" si="1"/>
        <v>0</v>
      </c>
      <c r="S30" s="20">
        <f t="shared" si="1"/>
        <v>0</v>
      </c>
      <c r="T30" s="20">
        <f t="shared" si="1"/>
        <v>0</v>
      </c>
      <c r="U30" s="20">
        <f t="shared" si="1"/>
        <v>0</v>
      </c>
      <c r="V30" s="20">
        <f t="shared" si="1"/>
        <v>0</v>
      </c>
      <c r="W30" s="20">
        <f t="shared" si="1"/>
        <v>0</v>
      </c>
      <c r="X30" s="20">
        <f t="shared" si="1"/>
        <v>0</v>
      </c>
      <c r="Y30" s="20">
        <f t="shared" si="1"/>
        <v>0</v>
      </c>
      <c r="Z30" s="20">
        <f t="shared" si="1"/>
        <v>0</v>
      </c>
      <c r="AA30" s="20">
        <f t="shared" si="1"/>
        <v>0</v>
      </c>
      <c r="AB30" s="186">
        <f>C30+NPV($B$15,D30:AA30)</f>
        <v>870.43970556904094</v>
      </c>
    </row>
    <row r="31" spans="1:28" s="7" customFormat="1" ht="25.5" customHeight="1" x14ac:dyDescent="0.25">
      <c r="A31" s="621"/>
      <c r="B31" s="364" t="s">
        <v>4</v>
      </c>
      <c r="C31" s="20">
        <f>C66*$B$16/1000000</f>
        <v>0</v>
      </c>
      <c r="D31" s="20">
        <f>D66*$B$16/1000000</f>
        <v>0</v>
      </c>
      <c r="E31" s="20">
        <f>E66*$B$16/1000000</f>
        <v>234.05623975384617</v>
      </c>
      <c r="F31" s="20">
        <f>F66*$B$16/1000000</f>
        <v>234.05623975384617</v>
      </c>
      <c r="G31" s="20">
        <f>G66*$B$16/1000000</f>
        <v>234.05623975384617</v>
      </c>
      <c r="H31" s="20">
        <f>G31</f>
        <v>234.05623975384617</v>
      </c>
      <c r="I31" s="20">
        <f t="shared" ref="I31:AA31" si="2">H31</f>
        <v>234.05623975384617</v>
      </c>
      <c r="J31" s="20">
        <f t="shared" si="2"/>
        <v>234.05623975384617</v>
      </c>
      <c r="K31" s="20">
        <f t="shared" si="2"/>
        <v>234.05623975384617</v>
      </c>
      <c r="L31" s="20">
        <f t="shared" si="2"/>
        <v>234.05623975384617</v>
      </c>
      <c r="M31" s="20">
        <f t="shared" si="2"/>
        <v>234.05623975384617</v>
      </c>
      <c r="N31" s="20">
        <f t="shared" si="2"/>
        <v>234.05623975384617</v>
      </c>
      <c r="O31" s="20">
        <f t="shared" si="2"/>
        <v>234.05623975384617</v>
      </c>
      <c r="P31" s="20">
        <f t="shared" si="2"/>
        <v>234.05623975384617</v>
      </c>
      <c r="Q31" s="20">
        <f t="shared" si="2"/>
        <v>234.05623975384617</v>
      </c>
      <c r="R31" s="20">
        <f t="shared" si="2"/>
        <v>234.05623975384617</v>
      </c>
      <c r="S31" s="20">
        <f t="shared" si="2"/>
        <v>234.05623975384617</v>
      </c>
      <c r="T31" s="20">
        <f t="shared" si="2"/>
        <v>234.05623975384617</v>
      </c>
      <c r="U31" s="20">
        <f t="shared" si="2"/>
        <v>234.05623975384617</v>
      </c>
      <c r="V31" s="20">
        <f t="shared" si="2"/>
        <v>234.05623975384617</v>
      </c>
      <c r="W31" s="20">
        <f t="shared" si="2"/>
        <v>234.05623975384617</v>
      </c>
      <c r="X31" s="20">
        <f t="shared" si="2"/>
        <v>234.05623975384617</v>
      </c>
      <c r="Y31" s="20">
        <f t="shared" si="2"/>
        <v>234.05623975384617</v>
      </c>
      <c r="Z31" s="20">
        <f t="shared" si="2"/>
        <v>234.05623975384617</v>
      </c>
      <c r="AA31" s="20">
        <f t="shared" si="2"/>
        <v>234.05623975384617</v>
      </c>
      <c r="AB31" s="187">
        <f t="shared" ref="AB31:AB40" si="3">C31+NPV($B$15,D31:AA31)</f>
        <v>1404.2791095263069</v>
      </c>
    </row>
    <row r="32" spans="1:28" s="7" customFormat="1" ht="25.5" customHeight="1" x14ac:dyDescent="0.25">
      <c r="A32" s="622"/>
      <c r="B32" s="365" t="s">
        <v>25</v>
      </c>
      <c r="C32" s="21">
        <f>SUM(C28:C31)</f>
        <v>6397.4820770084361</v>
      </c>
      <c r="D32" s="21">
        <f t="shared" ref="D32:AA32" si="4">SUM(D29:D31)</f>
        <v>6272.9289525336953</v>
      </c>
      <c r="E32" s="21">
        <f t="shared" si="4"/>
        <v>453.66281853352547</v>
      </c>
      <c r="F32" s="21">
        <f t="shared" si="4"/>
        <v>434.94398574210732</v>
      </c>
      <c r="G32" s="21">
        <f t="shared" si="4"/>
        <v>415.008428819247</v>
      </c>
      <c r="H32" s="21">
        <f t="shared" si="4"/>
        <v>393.77706069640078</v>
      </c>
      <c r="I32" s="21">
        <f t="shared" si="4"/>
        <v>371.16565364556959</v>
      </c>
      <c r="J32" s="21">
        <f t="shared" si="4"/>
        <v>347.0845051364343</v>
      </c>
      <c r="K32" s="21">
        <f t="shared" si="4"/>
        <v>321.43808197420526</v>
      </c>
      <c r="L32" s="21">
        <f t="shared" si="4"/>
        <v>294.12464130643133</v>
      </c>
      <c r="M32" s="21">
        <f t="shared" si="4"/>
        <v>265.03582699525208</v>
      </c>
      <c r="N32" s="21">
        <f t="shared" si="4"/>
        <v>234.05623975384617</v>
      </c>
      <c r="O32" s="21">
        <f t="shared" si="4"/>
        <v>234.05623975384617</v>
      </c>
      <c r="P32" s="21">
        <f t="shared" si="4"/>
        <v>234.05623975384617</v>
      </c>
      <c r="Q32" s="21">
        <f t="shared" si="4"/>
        <v>234.05623975384617</v>
      </c>
      <c r="R32" s="21">
        <f t="shared" si="4"/>
        <v>234.05623975384617</v>
      </c>
      <c r="S32" s="21">
        <f t="shared" si="4"/>
        <v>234.05623975384617</v>
      </c>
      <c r="T32" s="21">
        <f t="shared" si="4"/>
        <v>234.05623975384617</v>
      </c>
      <c r="U32" s="21">
        <f t="shared" si="4"/>
        <v>234.05623975384617</v>
      </c>
      <c r="V32" s="21">
        <f t="shared" si="4"/>
        <v>234.05623975384617</v>
      </c>
      <c r="W32" s="21">
        <f t="shared" si="4"/>
        <v>234.05623975384617</v>
      </c>
      <c r="X32" s="21">
        <f t="shared" si="4"/>
        <v>234.05623975384617</v>
      </c>
      <c r="Y32" s="21">
        <f t="shared" si="4"/>
        <v>234.05623975384617</v>
      </c>
      <c r="Z32" s="21">
        <f t="shared" si="4"/>
        <v>234.05623975384617</v>
      </c>
      <c r="AA32" s="105">
        <f t="shared" si="4"/>
        <v>234.05623975384617</v>
      </c>
      <c r="AB32" s="188">
        <f t="shared" si="3"/>
        <v>13971.363319615448</v>
      </c>
    </row>
    <row r="33" spans="1:28" s="7" customFormat="1" ht="25.5" customHeight="1" x14ac:dyDescent="0.25">
      <c r="A33" s="623" t="s">
        <v>23</v>
      </c>
      <c r="B33" s="84" t="s">
        <v>1413</v>
      </c>
      <c r="C33" s="20">
        <f>$B$53*C64/1000000</f>
        <v>0</v>
      </c>
      <c r="D33" s="20">
        <f>$B$53*D64/1000000</f>
        <v>0</v>
      </c>
      <c r="E33" s="20">
        <f>$B$53*E64/1000000</f>
        <v>0</v>
      </c>
      <c r="F33" s="20">
        <f>$B$53*F64/1000000</f>
        <v>0</v>
      </c>
      <c r="G33" s="20">
        <f>$B$53*G64/1000000</f>
        <v>526.02591960107475</v>
      </c>
      <c r="H33" s="20">
        <f>G33</f>
        <v>526.02591960107475</v>
      </c>
      <c r="I33" s="20">
        <f t="shared" ref="I33:AA33" si="5">H33</f>
        <v>526.02591960107475</v>
      </c>
      <c r="J33" s="20">
        <f t="shared" si="5"/>
        <v>526.02591960107475</v>
      </c>
      <c r="K33" s="20">
        <f t="shared" si="5"/>
        <v>526.02591960107475</v>
      </c>
      <c r="L33" s="20">
        <f t="shared" si="5"/>
        <v>526.02591960107475</v>
      </c>
      <c r="M33" s="20">
        <f t="shared" si="5"/>
        <v>526.02591960107475</v>
      </c>
      <c r="N33" s="20">
        <f t="shared" si="5"/>
        <v>526.02591960107475</v>
      </c>
      <c r="O33" s="20">
        <f t="shared" si="5"/>
        <v>526.02591960107475</v>
      </c>
      <c r="P33" s="20">
        <f t="shared" si="5"/>
        <v>526.02591960107475</v>
      </c>
      <c r="Q33" s="20">
        <f t="shared" si="5"/>
        <v>526.02591960107475</v>
      </c>
      <c r="R33" s="20">
        <f t="shared" si="5"/>
        <v>526.02591960107475</v>
      </c>
      <c r="S33" s="20">
        <f t="shared" si="5"/>
        <v>526.02591960107475</v>
      </c>
      <c r="T33" s="20">
        <f t="shared" si="5"/>
        <v>526.02591960107475</v>
      </c>
      <c r="U33" s="20">
        <f t="shared" si="5"/>
        <v>526.02591960107475</v>
      </c>
      <c r="V33" s="20">
        <f t="shared" si="5"/>
        <v>526.02591960107475</v>
      </c>
      <c r="W33" s="20">
        <f t="shared" si="5"/>
        <v>526.02591960107475</v>
      </c>
      <c r="X33" s="20">
        <f t="shared" si="5"/>
        <v>526.02591960107475</v>
      </c>
      <c r="Y33" s="20">
        <f t="shared" si="5"/>
        <v>526.02591960107475</v>
      </c>
      <c r="Z33" s="20">
        <f t="shared" si="5"/>
        <v>526.02591960107475</v>
      </c>
      <c r="AA33" s="104">
        <f t="shared" si="5"/>
        <v>526.02591960107475</v>
      </c>
      <c r="AB33" s="189">
        <f t="shared" si="3"/>
        <v>2394.5650194694958</v>
      </c>
    </row>
    <row r="34" spans="1:28" s="7" customFormat="1" ht="25.5" customHeight="1" x14ac:dyDescent="0.25">
      <c r="A34" s="624"/>
      <c r="B34" s="41" t="s">
        <v>7</v>
      </c>
      <c r="C34" s="20">
        <f>C65/1000000</f>
        <v>0</v>
      </c>
      <c r="D34" s="20">
        <f>D65/1000000</f>
        <v>1309.3395013407701</v>
      </c>
      <c r="E34" s="20">
        <f>E65/1000000</f>
        <v>1309.3395013407701</v>
      </c>
      <c r="F34" s="20">
        <f>F65/1000000</f>
        <v>1309.3395013407701</v>
      </c>
      <c r="G34" s="20">
        <f>G65/1000000</f>
        <v>1309.3395013407701</v>
      </c>
      <c r="H34" s="20">
        <f t="shared" ref="H34:AA34" si="6">G34</f>
        <v>1309.3395013407701</v>
      </c>
      <c r="I34" s="20">
        <f t="shared" si="6"/>
        <v>1309.3395013407701</v>
      </c>
      <c r="J34" s="20">
        <f t="shared" si="6"/>
        <v>1309.3395013407701</v>
      </c>
      <c r="K34" s="20">
        <f t="shared" si="6"/>
        <v>1309.3395013407701</v>
      </c>
      <c r="L34" s="20">
        <f t="shared" si="6"/>
        <v>1309.3395013407701</v>
      </c>
      <c r="M34" s="20">
        <f t="shared" si="6"/>
        <v>1309.3395013407701</v>
      </c>
      <c r="N34" s="20">
        <f t="shared" si="6"/>
        <v>1309.3395013407701</v>
      </c>
      <c r="O34" s="20">
        <f t="shared" si="6"/>
        <v>1309.3395013407701</v>
      </c>
      <c r="P34" s="20">
        <f t="shared" si="6"/>
        <v>1309.3395013407701</v>
      </c>
      <c r="Q34" s="20">
        <f t="shared" si="6"/>
        <v>1309.3395013407701</v>
      </c>
      <c r="R34" s="20">
        <f t="shared" si="6"/>
        <v>1309.3395013407701</v>
      </c>
      <c r="S34" s="20">
        <f t="shared" si="6"/>
        <v>1309.3395013407701</v>
      </c>
      <c r="T34" s="20">
        <f t="shared" si="6"/>
        <v>1309.3395013407701</v>
      </c>
      <c r="U34" s="20">
        <f t="shared" si="6"/>
        <v>1309.3395013407701</v>
      </c>
      <c r="V34" s="20">
        <f t="shared" si="6"/>
        <v>1309.3395013407701</v>
      </c>
      <c r="W34" s="20">
        <f t="shared" si="6"/>
        <v>1309.3395013407701</v>
      </c>
      <c r="X34" s="20">
        <f t="shared" si="6"/>
        <v>1309.3395013407701</v>
      </c>
      <c r="Y34" s="20">
        <f t="shared" si="6"/>
        <v>1309.3395013407701</v>
      </c>
      <c r="Z34" s="20">
        <f t="shared" si="6"/>
        <v>1309.3395013407701</v>
      </c>
      <c r="AA34" s="104">
        <f t="shared" si="6"/>
        <v>1309.3395013407701</v>
      </c>
      <c r="AB34" s="190">
        <f t="shared" si="3"/>
        <v>9005.2625094370469</v>
      </c>
    </row>
    <row r="35" spans="1:28" s="7" customFormat="1" ht="25.5" customHeight="1" x14ac:dyDescent="0.25">
      <c r="A35" s="624"/>
      <c r="B35" s="42" t="s">
        <v>6</v>
      </c>
      <c r="C35" s="20">
        <f>C31</f>
        <v>0</v>
      </c>
      <c r="D35" s="20">
        <f t="shared" ref="D35:AA35" si="7">D31</f>
        <v>0</v>
      </c>
      <c r="E35" s="20">
        <f t="shared" si="7"/>
        <v>234.05623975384617</v>
      </c>
      <c r="F35" s="20">
        <f t="shared" si="7"/>
        <v>234.05623975384617</v>
      </c>
      <c r="G35" s="20">
        <f t="shared" si="7"/>
        <v>234.05623975384617</v>
      </c>
      <c r="H35" s="20">
        <f t="shared" si="7"/>
        <v>234.05623975384617</v>
      </c>
      <c r="I35" s="20">
        <f t="shared" si="7"/>
        <v>234.05623975384617</v>
      </c>
      <c r="J35" s="20">
        <f t="shared" si="7"/>
        <v>234.05623975384617</v>
      </c>
      <c r="K35" s="20">
        <f t="shared" si="7"/>
        <v>234.05623975384617</v>
      </c>
      <c r="L35" s="20">
        <f t="shared" si="7"/>
        <v>234.05623975384617</v>
      </c>
      <c r="M35" s="20">
        <f t="shared" si="7"/>
        <v>234.05623975384617</v>
      </c>
      <c r="N35" s="20">
        <f t="shared" si="7"/>
        <v>234.05623975384617</v>
      </c>
      <c r="O35" s="20">
        <f t="shared" si="7"/>
        <v>234.05623975384617</v>
      </c>
      <c r="P35" s="20">
        <f t="shared" si="7"/>
        <v>234.05623975384617</v>
      </c>
      <c r="Q35" s="20">
        <f t="shared" si="7"/>
        <v>234.05623975384617</v>
      </c>
      <c r="R35" s="20">
        <f t="shared" si="7"/>
        <v>234.05623975384617</v>
      </c>
      <c r="S35" s="20">
        <f t="shared" si="7"/>
        <v>234.05623975384617</v>
      </c>
      <c r="T35" s="20">
        <f t="shared" si="7"/>
        <v>234.05623975384617</v>
      </c>
      <c r="U35" s="20">
        <f t="shared" si="7"/>
        <v>234.05623975384617</v>
      </c>
      <c r="V35" s="20">
        <f t="shared" si="7"/>
        <v>234.05623975384617</v>
      </c>
      <c r="W35" s="20">
        <f t="shared" si="7"/>
        <v>234.05623975384617</v>
      </c>
      <c r="X35" s="20">
        <f t="shared" si="7"/>
        <v>234.05623975384617</v>
      </c>
      <c r="Y35" s="20">
        <f t="shared" si="7"/>
        <v>234.05623975384617</v>
      </c>
      <c r="Z35" s="20">
        <f t="shared" si="7"/>
        <v>234.05623975384617</v>
      </c>
      <c r="AA35" s="104">
        <f t="shared" si="7"/>
        <v>234.05623975384617</v>
      </c>
      <c r="AB35" s="190">
        <f t="shared" si="3"/>
        <v>1404.2791095263069</v>
      </c>
    </row>
    <row r="36" spans="1:28" s="7" customFormat="1" ht="25.5" customHeight="1" x14ac:dyDescent="0.25">
      <c r="A36" s="624"/>
      <c r="B36" s="42" t="s">
        <v>1536</v>
      </c>
      <c r="C36" s="20">
        <f>C67*$B$52/1000000</f>
        <v>0</v>
      </c>
      <c r="D36" s="20">
        <f>D67*$B$52/1000000</f>
        <v>0</v>
      </c>
      <c r="E36" s="20">
        <f>E67*$B$52/1000000</f>
        <v>3.5604531073198791</v>
      </c>
      <c r="F36" s="20">
        <f>F67*$B$52/1000000</f>
        <v>3.3941576986576671</v>
      </c>
      <c r="G36" s="20">
        <f>G67*$B$52/1000000</f>
        <v>3.2443648384679116</v>
      </c>
      <c r="H36" s="20">
        <f>G36</f>
        <v>3.2443648384679116</v>
      </c>
      <c r="I36" s="20">
        <f t="shared" ref="I36:AA38" si="8">H36</f>
        <v>3.2443648384679116</v>
      </c>
      <c r="J36" s="20">
        <f t="shared" si="8"/>
        <v>3.2443648384679116</v>
      </c>
      <c r="K36" s="20">
        <f t="shared" si="8"/>
        <v>3.2443648384679116</v>
      </c>
      <c r="L36" s="20">
        <f t="shared" si="8"/>
        <v>3.2443648384679116</v>
      </c>
      <c r="M36" s="20">
        <f t="shared" si="8"/>
        <v>3.2443648384679116</v>
      </c>
      <c r="N36" s="20">
        <f t="shared" si="8"/>
        <v>3.2443648384679116</v>
      </c>
      <c r="O36" s="20">
        <f t="shared" si="8"/>
        <v>3.2443648384679116</v>
      </c>
      <c r="P36" s="20">
        <f t="shared" si="8"/>
        <v>3.2443648384679116</v>
      </c>
      <c r="Q36" s="20">
        <f t="shared" si="8"/>
        <v>3.2443648384679116</v>
      </c>
      <c r="R36" s="20">
        <f t="shared" si="8"/>
        <v>3.2443648384679116</v>
      </c>
      <c r="S36" s="20">
        <f t="shared" si="8"/>
        <v>3.2443648384679116</v>
      </c>
      <c r="T36" s="20">
        <f t="shared" si="8"/>
        <v>3.2443648384679116</v>
      </c>
      <c r="U36" s="20">
        <f t="shared" si="8"/>
        <v>3.2443648384679116</v>
      </c>
      <c r="V36" s="20">
        <f t="shared" si="8"/>
        <v>3.2443648384679116</v>
      </c>
      <c r="W36" s="20">
        <f t="shared" si="8"/>
        <v>3.2443648384679116</v>
      </c>
      <c r="X36" s="20">
        <f t="shared" si="8"/>
        <v>3.2443648384679116</v>
      </c>
      <c r="Y36" s="20">
        <f t="shared" si="8"/>
        <v>3.2443648384679116</v>
      </c>
      <c r="Z36" s="20">
        <f t="shared" si="8"/>
        <v>3.2443648384679116</v>
      </c>
      <c r="AA36" s="104">
        <f t="shared" si="8"/>
        <v>3.2443648384679116</v>
      </c>
      <c r="AB36" s="190">
        <f t="shared" si="3"/>
        <v>19.810399876743624</v>
      </c>
    </row>
    <row r="37" spans="1:28" s="7" customFormat="1" ht="25.5" customHeight="1" x14ac:dyDescent="0.25">
      <c r="A37" s="624"/>
      <c r="B37" s="42" t="s">
        <v>1463</v>
      </c>
      <c r="C37" s="20">
        <f>F47*B46/1000000</f>
        <v>1436.5317725008822</v>
      </c>
      <c r="D37" s="20">
        <v>0</v>
      </c>
      <c r="E37" s="20">
        <v>0</v>
      </c>
      <c r="F37" s="20">
        <v>0</v>
      </c>
      <c r="G37" s="20">
        <v>0</v>
      </c>
      <c r="H37" s="20">
        <f>G37</f>
        <v>0</v>
      </c>
      <c r="I37" s="20">
        <f t="shared" si="8"/>
        <v>0</v>
      </c>
      <c r="J37" s="20">
        <f t="shared" si="8"/>
        <v>0</v>
      </c>
      <c r="K37" s="20">
        <f t="shared" si="8"/>
        <v>0</v>
      </c>
      <c r="L37" s="20">
        <f t="shared" si="8"/>
        <v>0</v>
      </c>
      <c r="M37" s="20">
        <f t="shared" si="8"/>
        <v>0</v>
      </c>
      <c r="N37" s="20">
        <f t="shared" si="8"/>
        <v>0</v>
      </c>
      <c r="O37" s="20">
        <f t="shared" si="8"/>
        <v>0</v>
      </c>
      <c r="P37" s="20">
        <f t="shared" si="8"/>
        <v>0</v>
      </c>
      <c r="Q37" s="20">
        <f t="shared" si="8"/>
        <v>0</v>
      </c>
      <c r="R37" s="20">
        <f t="shared" si="8"/>
        <v>0</v>
      </c>
      <c r="S37" s="20">
        <f t="shared" si="8"/>
        <v>0</v>
      </c>
      <c r="T37" s="20">
        <f t="shared" si="8"/>
        <v>0</v>
      </c>
      <c r="U37" s="20">
        <f t="shared" si="8"/>
        <v>0</v>
      </c>
      <c r="V37" s="20">
        <f t="shared" si="8"/>
        <v>0</v>
      </c>
      <c r="W37" s="20">
        <f t="shared" si="8"/>
        <v>0</v>
      </c>
      <c r="X37" s="20">
        <f t="shared" si="8"/>
        <v>0</v>
      </c>
      <c r="Y37" s="20">
        <f t="shared" si="8"/>
        <v>0</v>
      </c>
      <c r="Z37" s="20">
        <f t="shared" si="8"/>
        <v>0</v>
      </c>
      <c r="AA37" s="20">
        <f t="shared" si="8"/>
        <v>0</v>
      </c>
      <c r="AB37" s="190">
        <f t="shared" si="3"/>
        <v>1436.5317725008822</v>
      </c>
    </row>
    <row r="38" spans="1:28" s="7" customFormat="1" ht="25.5" customHeight="1" x14ac:dyDescent="0.25">
      <c r="A38" s="624"/>
      <c r="B38" s="84" t="s">
        <v>1414</v>
      </c>
      <c r="C38" s="205">
        <f>$B$53*C63/1000000</f>
        <v>0</v>
      </c>
      <c r="D38" s="205">
        <f>$B$53*D63/1000000</f>
        <v>0</v>
      </c>
      <c r="E38" s="205">
        <f>$B$53*E63/1000000</f>
        <v>38.046166761836531</v>
      </c>
      <c r="F38" s="205">
        <f>$B$53*F63/1000000</f>
        <v>38.764018964890042</v>
      </c>
      <c r="G38" s="205">
        <f>$B$53*G63/1000000</f>
        <v>39.481871167943559</v>
      </c>
      <c r="H38" s="205">
        <f>G38</f>
        <v>39.481871167943559</v>
      </c>
      <c r="I38" s="205">
        <f t="shared" si="8"/>
        <v>39.481871167943559</v>
      </c>
      <c r="J38" s="205">
        <f t="shared" si="8"/>
        <v>39.481871167943559</v>
      </c>
      <c r="K38" s="205">
        <f t="shared" si="8"/>
        <v>39.481871167943559</v>
      </c>
      <c r="L38" s="205">
        <f t="shared" si="8"/>
        <v>39.481871167943559</v>
      </c>
      <c r="M38" s="205">
        <f t="shared" si="8"/>
        <v>39.481871167943559</v>
      </c>
      <c r="N38" s="205">
        <f t="shared" si="8"/>
        <v>39.481871167943559</v>
      </c>
      <c r="O38" s="205">
        <f t="shared" si="8"/>
        <v>39.481871167943559</v>
      </c>
      <c r="P38" s="205">
        <f t="shared" si="8"/>
        <v>39.481871167943559</v>
      </c>
      <c r="Q38" s="205">
        <f t="shared" si="8"/>
        <v>39.481871167943559</v>
      </c>
      <c r="R38" s="205">
        <f t="shared" si="8"/>
        <v>39.481871167943559</v>
      </c>
      <c r="S38" s="205">
        <f t="shared" si="8"/>
        <v>39.481871167943559</v>
      </c>
      <c r="T38" s="205">
        <f t="shared" si="8"/>
        <v>39.481871167943559</v>
      </c>
      <c r="U38" s="205">
        <f t="shared" si="8"/>
        <v>39.481871167943559</v>
      </c>
      <c r="V38" s="205">
        <f t="shared" si="8"/>
        <v>39.481871167943559</v>
      </c>
      <c r="W38" s="205">
        <f t="shared" si="8"/>
        <v>39.481871167943559</v>
      </c>
      <c r="X38" s="205">
        <f t="shared" si="8"/>
        <v>39.481871167943559</v>
      </c>
      <c r="Y38" s="205">
        <f t="shared" si="8"/>
        <v>39.481871167943559</v>
      </c>
      <c r="Z38" s="205">
        <f t="shared" si="8"/>
        <v>39.481871167943559</v>
      </c>
      <c r="AA38" s="206">
        <f t="shared" si="8"/>
        <v>39.481871167943559</v>
      </c>
      <c r="AB38" s="207">
        <f t="shared" si="3"/>
        <v>235.28891205548823</v>
      </c>
    </row>
    <row r="39" spans="1:28" s="7" customFormat="1" ht="25.5" customHeight="1" x14ac:dyDescent="0.25">
      <c r="A39" s="625"/>
      <c r="B39" s="17" t="s">
        <v>26</v>
      </c>
      <c r="C39" s="22">
        <f>SUM(C33:C38)</f>
        <v>1436.5317725008822</v>
      </c>
      <c r="D39" s="22">
        <f t="shared" ref="D39:AA39" si="9">SUM(D33:D38)</f>
        <v>1309.3395013407701</v>
      </c>
      <c r="E39" s="22">
        <f t="shared" si="9"/>
        <v>1585.0023609637728</v>
      </c>
      <c r="F39" s="22">
        <f t="shared" si="9"/>
        <v>1585.5539177581641</v>
      </c>
      <c r="G39" s="22">
        <f t="shared" si="9"/>
        <v>2112.1478967021026</v>
      </c>
      <c r="H39" s="22">
        <f t="shared" si="9"/>
        <v>2112.1478967021026</v>
      </c>
      <c r="I39" s="22">
        <f t="shared" si="9"/>
        <v>2112.1478967021026</v>
      </c>
      <c r="J39" s="22">
        <f t="shared" si="9"/>
        <v>2112.1478967021026</v>
      </c>
      <c r="K39" s="22">
        <f t="shared" si="9"/>
        <v>2112.1478967021026</v>
      </c>
      <c r="L39" s="22">
        <f t="shared" si="9"/>
        <v>2112.1478967021026</v>
      </c>
      <c r="M39" s="22">
        <f t="shared" si="9"/>
        <v>2112.1478967021026</v>
      </c>
      <c r="N39" s="22">
        <f t="shared" si="9"/>
        <v>2112.1478967021026</v>
      </c>
      <c r="O39" s="22">
        <f t="shared" si="9"/>
        <v>2112.1478967021026</v>
      </c>
      <c r="P39" s="22">
        <f t="shared" si="9"/>
        <v>2112.1478967021026</v>
      </c>
      <c r="Q39" s="22">
        <f t="shared" si="9"/>
        <v>2112.1478967021026</v>
      </c>
      <c r="R39" s="22">
        <f t="shared" si="9"/>
        <v>2112.1478967021026</v>
      </c>
      <c r="S39" s="22">
        <f t="shared" si="9"/>
        <v>2112.1478967021026</v>
      </c>
      <c r="T39" s="22">
        <f t="shared" si="9"/>
        <v>2112.1478967021026</v>
      </c>
      <c r="U39" s="22">
        <f t="shared" si="9"/>
        <v>2112.1478967021026</v>
      </c>
      <c r="V39" s="22">
        <f t="shared" si="9"/>
        <v>2112.1478967021026</v>
      </c>
      <c r="W39" s="22">
        <f t="shared" si="9"/>
        <v>2112.1478967021026</v>
      </c>
      <c r="X39" s="22">
        <f t="shared" si="9"/>
        <v>2112.1478967021026</v>
      </c>
      <c r="Y39" s="22">
        <f t="shared" si="9"/>
        <v>2112.1478967021026</v>
      </c>
      <c r="Z39" s="22">
        <f t="shared" si="9"/>
        <v>2112.1478967021026</v>
      </c>
      <c r="AA39" s="106">
        <f t="shared" si="9"/>
        <v>2112.1478967021026</v>
      </c>
      <c r="AB39" s="191">
        <f t="shared" si="3"/>
        <v>14495.737722865962</v>
      </c>
    </row>
    <row r="40" spans="1:28" s="7" customFormat="1" ht="25.5" customHeight="1" x14ac:dyDescent="0.25">
      <c r="A40" s="626" t="s">
        <v>14</v>
      </c>
      <c r="B40" s="627"/>
      <c r="C40" s="23">
        <f t="shared" ref="C40:AA40" si="10">C39-C32</f>
        <v>-4960.9503045075544</v>
      </c>
      <c r="D40" s="23">
        <f t="shared" si="10"/>
        <v>-4963.5894511929255</v>
      </c>
      <c r="E40" s="23">
        <f t="shared" si="10"/>
        <v>1131.3395424302473</v>
      </c>
      <c r="F40" s="23">
        <f t="shared" si="10"/>
        <v>1150.6099320160567</v>
      </c>
      <c r="G40" s="23">
        <f t="shared" si="10"/>
        <v>1697.1394678828556</v>
      </c>
      <c r="H40" s="23">
        <f t="shared" si="10"/>
        <v>1718.3708360057017</v>
      </c>
      <c r="I40" s="23">
        <f t="shared" si="10"/>
        <v>1740.982243056533</v>
      </c>
      <c r="J40" s="23">
        <f t="shared" si="10"/>
        <v>1765.0633915656683</v>
      </c>
      <c r="K40" s="23">
        <f t="shared" si="10"/>
        <v>1790.7098147278973</v>
      </c>
      <c r="L40" s="23">
        <f t="shared" si="10"/>
        <v>1818.0232553956712</v>
      </c>
      <c r="M40" s="23">
        <f t="shared" si="10"/>
        <v>1847.1120697068504</v>
      </c>
      <c r="N40" s="23">
        <f t="shared" si="10"/>
        <v>1878.0916569482565</v>
      </c>
      <c r="O40" s="23">
        <f t="shared" si="10"/>
        <v>1878.0916569482565</v>
      </c>
      <c r="P40" s="23">
        <f t="shared" si="10"/>
        <v>1878.0916569482565</v>
      </c>
      <c r="Q40" s="23">
        <f t="shared" si="10"/>
        <v>1878.0916569482565</v>
      </c>
      <c r="R40" s="23">
        <f t="shared" si="10"/>
        <v>1878.0916569482565</v>
      </c>
      <c r="S40" s="23">
        <f t="shared" si="10"/>
        <v>1878.0916569482565</v>
      </c>
      <c r="T40" s="23">
        <f t="shared" si="10"/>
        <v>1878.0916569482565</v>
      </c>
      <c r="U40" s="23">
        <f t="shared" si="10"/>
        <v>1878.0916569482565</v>
      </c>
      <c r="V40" s="23">
        <f t="shared" si="10"/>
        <v>1878.0916569482565</v>
      </c>
      <c r="W40" s="23">
        <f t="shared" si="10"/>
        <v>1878.0916569482565</v>
      </c>
      <c r="X40" s="23">
        <f t="shared" si="10"/>
        <v>1878.0916569482565</v>
      </c>
      <c r="Y40" s="23">
        <f t="shared" si="10"/>
        <v>1878.0916569482565</v>
      </c>
      <c r="Z40" s="23">
        <f t="shared" si="10"/>
        <v>1878.0916569482565</v>
      </c>
      <c r="AA40" s="107">
        <f t="shared" si="10"/>
        <v>1878.0916569482565</v>
      </c>
      <c r="AB40" s="192">
        <f t="shared" si="3"/>
        <v>524.37440325052012</v>
      </c>
    </row>
    <row r="41" spans="1:28" s="7" customFormat="1" ht="25.5" customHeight="1" x14ac:dyDescent="0.25">
      <c r="A41" s="628" t="s">
        <v>5</v>
      </c>
      <c r="B41" s="18" t="s">
        <v>46</v>
      </c>
      <c r="C41" s="24">
        <f>C40</f>
        <v>-4960.9503045075544</v>
      </c>
      <c r="D41" s="25">
        <f t="shared" ref="D41:AA41" si="11">D40+C41</f>
        <v>-9924.5397557004799</v>
      </c>
      <c r="E41" s="25">
        <f t="shared" si="11"/>
        <v>-8793.2002132702328</v>
      </c>
      <c r="F41" s="25">
        <f t="shared" si="11"/>
        <v>-7642.5902812541763</v>
      </c>
      <c r="G41" s="25">
        <f t="shared" si="11"/>
        <v>-5945.4508133713207</v>
      </c>
      <c r="H41" s="25">
        <f t="shared" si="11"/>
        <v>-4227.079977365619</v>
      </c>
      <c r="I41" s="25">
        <f t="shared" si="11"/>
        <v>-2486.0977343090863</v>
      </c>
      <c r="J41" s="24">
        <f t="shared" si="11"/>
        <v>-721.03434274341794</v>
      </c>
      <c r="K41" s="25">
        <f t="shared" si="11"/>
        <v>1069.6754719844794</v>
      </c>
      <c r="L41" s="25">
        <f t="shared" si="11"/>
        <v>2887.6987273801506</v>
      </c>
      <c r="M41" s="25">
        <f t="shared" si="11"/>
        <v>4734.8107970870005</v>
      </c>
      <c r="N41" s="25">
        <f t="shared" si="11"/>
        <v>6612.9024540352566</v>
      </c>
      <c r="O41" s="25">
        <f t="shared" si="11"/>
        <v>8490.9941109835127</v>
      </c>
      <c r="P41" s="25">
        <f t="shared" si="11"/>
        <v>10369.085767931769</v>
      </c>
      <c r="Q41" s="25">
        <f t="shared" si="11"/>
        <v>12247.177424880025</v>
      </c>
      <c r="R41" s="25">
        <f t="shared" si="11"/>
        <v>14125.269081828281</v>
      </c>
      <c r="S41" s="25">
        <f t="shared" si="11"/>
        <v>16003.360738776537</v>
      </c>
      <c r="T41" s="25">
        <f t="shared" si="11"/>
        <v>17881.452395724795</v>
      </c>
      <c r="U41" s="25">
        <f t="shared" si="11"/>
        <v>19759.544052673053</v>
      </c>
      <c r="V41" s="25">
        <f t="shared" si="11"/>
        <v>21637.635709621311</v>
      </c>
      <c r="W41" s="25">
        <f t="shared" si="11"/>
        <v>23515.727366569568</v>
      </c>
      <c r="X41" s="24">
        <f t="shared" si="11"/>
        <v>25393.819023517826</v>
      </c>
      <c r="Y41" s="25">
        <f t="shared" si="11"/>
        <v>27271.910680466084</v>
      </c>
      <c r="Z41" s="25">
        <f t="shared" si="11"/>
        <v>29150.002337414342</v>
      </c>
      <c r="AA41" s="108">
        <f t="shared" si="11"/>
        <v>31028.0939943626</v>
      </c>
      <c r="AB41" s="193">
        <f>SUM(C41:AA41)</f>
        <v>227478.2167127147</v>
      </c>
    </row>
    <row r="42" spans="1:28" s="7" customFormat="1" ht="25.5" customHeight="1" x14ac:dyDescent="0.25">
      <c r="A42" s="629"/>
      <c r="B42" s="19" t="s">
        <v>13</v>
      </c>
      <c r="C42" s="26"/>
      <c r="D42" s="27">
        <f t="shared" ref="D42:AA42" si="12">IF(AND(D41&gt;0,C41&lt;0),D27,0)</f>
        <v>0</v>
      </c>
      <c r="E42" s="27">
        <f t="shared" si="12"/>
        <v>0</v>
      </c>
      <c r="F42" s="27">
        <f t="shared" si="12"/>
        <v>0</v>
      </c>
      <c r="G42" s="27">
        <f t="shared" si="12"/>
        <v>0</v>
      </c>
      <c r="H42" s="27">
        <f t="shared" si="12"/>
        <v>0</v>
      </c>
      <c r="I42" s="27">
        <f t="shared" si="12"/>
        <v>0</v>
      </c>
      <c r="J42" s="27">
        <f t="shared" si="12"/>
        <v>0</v>
      </c>
      <c r="K42" s="27">
        <f t="shared" si="12"/>
        <v>9</v>
      </c>
      <c r="L42" s="27">
        <f t="shared" si="12"/>
        <v>0</v>
      </c>
      <c r="M42" s="27">
        <f t="shared" si="12"/>
        <v>0</v>
      </c>
      <c r="N42" s="27">
        <f t="shared" si="12"/>
        <v>0</v>
      </c>
      <c r="O42" s="27">
        <f t="shared" si="12"/>
        <v>0</v>
      </c>
      <c r="P42" s="27">
        <f t="shared" si="12"/>
        <v>0</v>
      </c>
      <c r="Q42" s="27">
        <f t="shared" si="12"/>
        <v>0</v>
      </c>
      <c r="R42" s="27">
        <f t="shared" si="12"/>
        <v>0</v>
      </c>
      <c r="S42" s="27">
        <f t="shared" si="12"/>
        <v>0</v>
      </c>
      <c r="T42" s="27">
        <f t="shared" si="12"/>
        <v>0</v>
      </c>
      <c r="U42" s="27">
        <f t="shared" si="12"/>
        <v>0</v>
      </c>
      <c r="V42" s="27">
        <f t="shared" si="12"/>
        <v>0</v>
      </c>
      <c r="W42" s="27">
        <f t="shared" si="12"/>
        <v>0</v>
      </c>
      <c r="X42" s="27">
        <f t="shared" si="12"/>
        <v>0</v>
      </c>
      <c r="Y42" s="27">
        <f t="shared" si="12"/>
        <v>0</v>
      </c>
      <c r="Z42" s="27">
        <f t="shared" si="12"/>
        <v>0</v>
      </c>
      <c r="AA42" s="109">
        <f t="shared" si="12"/>
        <v>0</v>
      </c>
      <c r="AB42" s="194">
        <f>SUM(C42:AA42)</f>
        <v>9</v>
      </c>
    </row>
    <row r="43" spans="1:28" s="8" customFormat="1" x14ac:dyDescent="0.25">
      <c r="B43" s="9"/>
      <c r="AB43" s="16"/>
    </row>
    <row r="44" spans="1:28" s="8" customFormat="1" x14ac:dyDescent="0.25">
      <c r="A44" s="630" t="s">
        <v>21</v>
      </c>
      <c r="B44" s="630"/>
      <c r="C44" s="630"/>
      <c r="E44" s="217" t="s">
        <v>1456</v>
      </c>
      <c r="F44" s="218"/>
      <c r="G44" s="218"/>
      <c r="H44" s="219"/>
      <c r="AB44" s="16"/>
    </row>
    <row r="45" spans="1:28" s="8" customFormat="1" x14ac:dyDescent="0.25">
      <c r="A45" s="223" t="s">
        <v>19</v>
      </c>
      <c r="B45" s="224">
        <f>B16</f>
        <v>3.04E-2</v>
      </c>
      <c r="C45" s="221"/>
      <c r="E45" s="8" t="s">
        <v>1457</v>
      </c>
      <c r="F45" s="8">
        <f>24*15</f>
        <v>360</v>
      </c>
      <c r="G45" s="8" t="s">
        <v>1458</v>
      </c>
      <c r="AB45" s="16"/>
    </row>
    <row r="46" spans="1:28" s="8" customFormat="1" ht="15" x14ac:dyDescent="0.25">
      <c r="A46" s="223" t="s">
        <v>1054</v>
      </c>
      <c r="B46" s="225">
        <v>646.49</v>
      </c>
      <c r="C46" s="222" t="s">
        <v>20</v>
      </c>
      <c r="D46" s="201"/>
      <c r="E46" s="8" t="s">
        <v>1459</v>
      </c>
      <c r="F46" s="220">
        <f>13010*'Beneficios Perdidas'!C46</f>
        <v>6172.3553879018591</v>
      </c>
      <c r="G46" s="8" t="s">
        <v>1460</v>
      </c>
      <c r="AB46" s="16"/>
    </row>
    <row r="47" spans="1:28" s="8" customFormat="1" x14ac:dyDescent="0.25">
      <c r="A47" s="223" t="s">
        <v>1352</v>
      </c>
      <c r="B47" s="226">
        <v>128.88</v>
      </c>
      <c r="C47" s="222" t="s">
        <v>20</v>
      </c>
      <c r="D47" s="201"/>
      <c r="E47" s="8" t="s">
        <v>1461</v>
      </c>
      <c r="F47" s="220">
        <f>F46*F45</f>
        <v>2222047.9396446692</v>
      </c>
      <c r="G47" s="8" t="s">
        <v>1462</v>
      </c>
      <c r="AB47" s="16"/>
    </row>
    <row r="48" spans="1:28" s="8" customFormat="1" x14ac:dyDescent="0.25">
      <c r="A48" s="223" t="s">
        <v>1353</v>
      </c>
      <c r="B48" s="226">
        <v>21.643999999999998</v>
      </c>
      <c r="C48" s="222" t="s">
        <v>20</v>
      </c>
      <c r="D48" s="201"/>
      <c r="AB48" s="16"/>
    </row>
    <row r="49" spans="1:28" s="8" customFormat="1" x14ac:dyDescent="0.25">
      <c r="A49" s="223" t="s">
        <v>1354</v>
      </c>
      <c r="B49" s="226">
        <v>171.16800000000001</v>
      </c>
      <c r="C49" s="222" t="s">
        <v>20</v>
      </c>
      <c r="D49" s="201"/>
      <c r="AB49" s="16"/>
    </row>
    <row r="50" spans="1:28" s="8" customFormat="1" x14ac:dyDescent="0.25">
      <c r="A50" s="223" t="s">
        <v>1355</v>
      </c>
      <c r="B50" s="226">
        <v>68.852000000000004</v>
      </c>
      <c r="C50" s="222" t="s">
        <v>20</v>
      </c>
      <c r="D50" s="201"/>
      <c r="AB50" s="16"/>
    </row>
    <row r="51" spans="1:28" s="8" customFormat="1" x14ac:dyDescent="0.25">
      <c r="A51" s="223" t="s">
        <v>1356</v>
      </c>
      <c r="B51" s="226">
        <v>17.57</v>
      </c>
      <c r="C51" s="222" t="s">
        <v>20</v>
      </c>
      <c r="D51" s="201"/>
      <c r="AB51" s="16"/>
    </row>
    <row r="52" spans="1:28" s="8" customFormat="1" x14ac:dyDescent="0.25">
      <c r="A52" s="223" t="s">
        <v>1357</v>
      </c>
      <c r="B52" s="226">
        <v>21.957999999999998</v>
      </c>
      <c r="C52" s="222" t="s">
        <v>20</v>
      </c>
      <c r="D52" s="201"/>
      <c r="AB52" s="16"/>
    </row>
    <row r="53" spans="1:28" s="8" customFormat="1" x14ac:dyDescent="0.25">
      <c r="A53" s="223" t="s">
        <v>1053</v>
      </c>
      <c r="B53" s="226">
        <v>430.07</v>
      </c>
      <c r="C53" s="222" t="s">
        <v>20</v>
      </c>
      <c r="D53" s="201"/>
      <c r="AB53" s="16"/>
    </row>
    <row r="54" spans="1:28" s="8" customFormat="1" x14ac:dyDescent="0.25">
      <c r="A54" s="223" t="s">
        <v>1351</v>
      </c>
      <c r="B54" s="227">
        <v>393.69299999999998</v>
      </c>
      <c r="C54" s="222" t="s">
        <v>20</v>
      </c>
      <c r="D54" s="201"/>
      <c r="AB54" s="16"/>
    </row>
    <row r="55" spans="1:28" s="8" customFormat="1" x14ac:dyDescent="0.25">
      <c r="A55" s="223" t="s">
        <v>1</v>
      </c>
      <c r="B55" s="226">
        <f>'Beneficios Peaje'!C10</f>
        <v>2012</v>
      </c>
      <c r="C55" s="222" t="s">
        <v>22</v>
      </c>
      <c r="AB55" s="16"/>
    </row>
    <row r="56" spans="1:28" s="8" customFormat="1" x14ac:dyDescent="0.25">
      <c r="A56" s="223" t="s">
        <v>1034</v>
      </c>
      <c r="B56" s="228">
        <v>250000</v>
      </c>
      <c r="C56" s="222" t="s">
        <v>1471</v>
      </c>
      <c r="AB56" s="16"/>
    </row>
    <row r="57" spans="1:28" s="8" customFormat="1" x14ac:dyDescent="0.25">
      <c r="A57" s="223" t="s">
        <v>1052</v>
      </c>
      <c r="B57" s="229">
        <v>101.27</v>
      </c>
      <c r="C57" s="222"/>
      <c r="AB57" s="16"/>
    </row>
    <row r="58" spans="1:28" s="8" customFormat="1" x14ac:dyDescent="0.25">
      <c r="A58" s="223" t="s">
        <v>1470</v>
      </c>
      <c r="B58" s="229">
        <v>117.22</v>
      </c>
      <c r="C58" s="222"/>
      <c r="AB58" s="16"/>
    </row>
    <row r="59" spans="1:28" s="8" customFormat="1" ht="13.5" thickBot="1" x14ac:dyDescent="0.3">
      <c r="B59" s="10"/>
      <c r="AB59" s="16"/>
    </row>
    <row r="60" spans="1:28" s="8" customFormat="1" ht="15.75" customHeight="1" thickBot="1" x14ac:dyDescent="0.3">
      <c r="A60" s="76" t="s">
        <v>15</v>
      </c>
      <c r="B60" s="77"/>
      <c r="C60" s="77"/>
      <c r="D60" s="77"/>
      <c r="E60" s="77"/>
      <c r="F60" s="77"/>
      <c r="G60" s="78"/>
      <c r="I60" s="80" t="s">
        <v>987</v>
      </c>
      <c r="J60" s="81"/>
      <c r="K60" s="82"/>
      <c r="AB60" s="16"/>
    </row>
    <row r="61" spans="1:28" s="8" customFormat="1" ht="15" customHeight="1" x14ac:dyDescent="0.25">
      <c r="A61" s="603" t="s">
        <v>16</v>
      </c>
      <c r="B61" s="604"/>
      <c r="C61" s="590" t="s">
        <v>17</v>
      </c>
      <c r="D61" s="591"/>
      <c r="E61" s="591"/>
      <c r="F61" s="591"/>
      <c r="G61" s="592"/>
      <c r="I61" s="83" t="s">
        <v>984</v>
      </c>
      <c r="J61" s="75">
        <f>'Beneficios Peaje'!AE49</f>
        <v>1</v>
      </c>
      <c r="AB61" s="16"/>
    </row>
    <row r="62" spans="1:28" s="8" customFormat="1" x14ac:dyDescent="0.25">
      <c r="A62" s="605"/>
      <c r="B62" s="606"/>
      <c r="C62" s="11" t="s">
        <v>41</v>
      </c>
      <c r="D62" s="12" t="s">
        <v>42</v>
      </c>
      <c r="E62" s="12" t="s">
        <v>43</v>
      </c>
      <c r="F62" s="12" t="s">
        <v>44</v>
      </c>
      <c r="G62" s="79" t="s">
        <v>986</v>
      </c>
      <c r="I62" s="83" t="s">
        <v>985</v>
      </c>
      <c r="J62" s="75">
        <f>'Beneficios Peaje'!AF49</f>
        <v>2</v>
      </c>
      <c r="AB62" s="16"/>
    </row>
    <row r="63" spans="1:28" ht="24.95" customHeight="1" x14ac:dyDescent="0.25">
      <c r="A63" s="593" t="s">
        <v>1320</v>
      </c>
      <c r="B63" s="594"/>
      <c r="C63" s="114">
        <f>IF(1&gt;$J$62,'Beneficios Calidad de Servicio'!T38,0)</f>
        <v>0</v>
      </c>
      <c r="D63" s="114">
        <f>IF(2&gt;$J$62,'Beneficios Calidad de Servicio'!U38,0)</f>
        <v>0</v>
      </c>
      <c r="E63" s="114">
        <f>IF(3&gt;$J$62,'Beneficios Calidad de Servicio'!V38,0)</f>
        <v>88465.056297431875</v>
      </c>
      <c r="F63" s="114">
        <f>IF(4&gt;$J$62,'Beneficios Calidad de Servicio'!W38,0)</f>
        <v>90134.208303043779</v>
      </c>
      <c r="G63" s="115">
        <f>IF(5&gt;$J$62,'Beneficios Calidad de Servicio'!X38,0)</f>
        <v>91803.360308655712</v>
      </c>
      <c r="J63" s="75"/>
    </row>
    <row r="64" spans="1:28" ht="24.95" customHeight="1" x14ac:dyDescent="0.25">
      <c r="A64" s="599" t="s">
        <v>1415</v>
      </c>
      <c r="B64" s="600"/>
      <c r="C64" s="114">
        <v>0</v>
      </c>
      <c r="D64" s="114">
        <v>0</v>
      </c>
      <c r="E64" s="114">
        <v>0</v>
      </c>
      <c r="F64" s="114">
        <v>0</v>
      </c>
      <c r="G64" s="115">
        <f>IF(5&gt;$J$62,'Beneficios Crecimiento Demanda'!C31*24*365,0)</f>
        <v>1223116.9800290063</v>
      </c>
      <c r="I64" s="80" t="s">
        <v>1015</v>
      </c>
      <c r="J64" s="81"/>
      <c r="K64" s="82"/>
    </row>
    <row r="65" spans="1:27" ht="24.95" customHeight="1" x14ac:dyDescent="0.25">
      <c r="A65" s="599" t="s">
        <v>1011</v>
      </c>
      <c r="B65" s="600"/>
      <c r="C65" s="111">
        <f>IF(1&gt;$J$65,'Beneficios Peaje'!$AB$49,0)</f>
        <v>0</v>
      </c>
      <c r="D65" s="111">
        <f>IF(2&gt;$J$65,'Beneficios Peaje'!$AB$49,0)</f>
        <v>1309339501.34077</v>
      </c>
      <c r="E65" s="111">
        <f>IF(3&gt;$J$65,'Beneficios Peaje'!$AB$49,0)</f>
        <v>1309339501.34077</v>
      </c>
      <c r="F65" s="111">
        <f>IF(4&gt;$J$65,'Beneficios Peaje'!$AB$49,0)</f>
        <v>1309339501.34077</v>
      </c>
      <c r="G65" s="112">
        <f>IF(5&gt;$J$65,'Beneficios Peaje'!$AB$49,0)</f>
        <v>1309339501.34077</v>
      </c>
      <c r="I65" s="83" t="s">
        <v>984</v>
      </c>
      <c r="J65" s="75">
        <f>'Beneficios Peaje'!AD49</f>
        <v>1</v>
      </c>
      <c r="K65" s="8"/>
    </row>
    <row r="66" spans="1:27" ht="24.95" customHeight="1" x14ac:dyDescent="0.25">
      <c r="A66" s="599" t="s">
        <v>1012</v>
      </c>
      <c r="B66" s="600"/>
      <c r="C66" s="111">
        <f>IF(1&gt;$J$62,'Beneficios Peaje'!AI49,0)</f>
        <v>0</v>
      </c>
      <c r="D66" s="111">
        <f>IF(2&gt;$J$62,'Beneficios Peaje'!AI49,0)</f>
        <v>0</v>
      </c>
      <c r="E66" s="111">
        <f>IF(3&gt;$J$62,'Beneficios Peaje'!AI49,0)</f>
        <v>7699218412.9554663</v>
      </c>
      <c r="F66" s="111">
        <f>IF(4&gt;$J$62,'Beneficios Peaje'!AI49,0)</f>
        <v>7699218412.9554663</v>
      </c>
      <c r="G66" s="112">
        <f>IF(5&gt;$J$62,'Beneficios Peaje'!AI49,0)</f>
        <v>7699218412.9554663</v>
      </c>
    </row>
    <row r="67" spans="1:27" ht="24.95" customHeight="1" thickBot="1" x14ac:dyDescent="0.3">
      <c r="A67" s="601" t="s">
        <v>1393</v>
      </c>
      <c r="B67" s="602"/>
      <c r="C67" s="202">
        <f>IF(1&gt;$J$62,'Beneficios Perdidas'!K49*24*365,0)</f>
        <v>0</v>
      </c>
      <c r="D67" s="203">
        <f>IF(2&gt;$J$62,'Beneficios Perdidas'!L49*24*365,0)</f>
        <v>0</v>
      </c>
      <c r="E67" s="203">
        <f>IF(3&gt;$J$62,'Beneficios Perdidas'!M49*24*365,0)</f>
        <v>162148.33351488656</v>
      </c>
      <c r="F67" s="203">
        <f>IF(4&gt;$J$62,'Beneficios Perdidas'!N49*24*365,0)</f>
        <v>154574.99310764493</v>
      </c>
      <c r="G67" s="204">
        <f>IF(5&gt;$J$62,'Beneficios Perdidas'!O49*24*365,0)</f>
        <v>147753.20331851314</v>
      </c>
    </row>
    <row r="68" spans="1:27" ht="24.95" customHeight="1" x14ac:dyDescent="0.25"/>
    <row r="69" spans="1:27" ht="13.5" thickBot="1" x14ac:dyDescent="0.3"/>
    <row r="70" spans="1:27" ht="13.5" thickBot="1" x14ac:dyDescent="0.3">
      <c r="A70" s="76" t="s">
        <v>1032</v>
      </c>
      <c r="B70" s="77"/>
      <c r="C70" s="77"/>
      <c r="D70" s="77"/>
      <c r="E70" s="77"/>
      <c r="F70" s="78"/>
    </row>
    <row r="71" spans="1:27" ht="15" customHeight="1" x14ac:dyDescent="0.25">
      <c r="A71" s="603" t="s">
        <v>16</v>
      </c>
      <c r="B71" s="604"/>
      <c r="C71" s="590" t="s">
        <v>17</v>
      </c>
      <c r="D71" s="591"/>
      <c r="E71" s="591"/>
      <c r="F71" s="592"/>
    </row>
    <row r="72" spans="1:27" x14ac:dyDescent="0.25">
      <c r="A72" s="605"/>
      <c r="B72" s="606"/>
      <c r="C72" s="11" t="s">
        <v>41</v>
      </c>
      <c r="D72" s="12" t="s">
        <v>42</v>
      </c>
      <c r="E72" s="12" t="s">
        <v>43</v>
      </c>
      <c r="F72" s="79" t="s">
        <v>44</v>
      </c>
      <c r="G72" s="79" t="s">
        <v>986</v>
      </c>
      <c r="H72" s="79" t="s">
        <v>1509</v>
      </c>
      <c r="I72" s="79" t="s">
        <v>1510</v>
      </c>
      <c r="J72" s="79" t="s">
        <v>1511</v>
      </c>
      <c r="K72" s="79" t="s">
        <v>1512</v>
      </c>
      <c r="L72" s="79" t="s">
        <v>1513</v>
      </c>
      <c r="M72" s="79" t="s">
        <v>1514</v>
      </c>
      <c r="N72" s="79" t="s">
        <v>1515</v>
      </c>
      <c r="O72" s="79" t="s">
        <v>1516</v>
      </c>
      <c r="P72" s="79" t="s">
        <v>1517</v>
      </c>
      <c r="Q72" s="79" t="s">
        <v>1518</v>
      </c>
      <c r="R72" s="79" t="s">
        <v>1519</v>
      </c>
      <c r="S72" s="79" t="s">
        <v>1520</v>
      </c>
      <c r="T72" s="79" t="s">
        <v>1521</v>
      </c>
      <c r="U72" s="79" t="s">
        <v>1522</v>
      </c>
      <c r="V72" s="79" t="s">
        <v>1523</v>
      </c>
      <c r="W72" s="79" t="s">
        <v>1524</v>
      </c>
      <c r="X72" s="79" t="s">
        <v>1525</v>
      </c>
      <c r="Y72" s="79" t="s">
        <v>1526</v>
      </c>
      <c r="Z72" s="79" t="s">
        <v>1527</v>
      </c>
      <c r="AA72" s="79" t="s">
        <v>1528</v>
      </c>
    </row>
    <row r="73" spans="1:27" ht="24" customHeight="1" x14ac:dyDescent="0.25">
      <c r="A73" s="593" t="s">
        <v>1033</v>
      </c>
      <c r="B73" s="594"/>
      <c r="C73" s="111">
        <f>Inversion!Q41</f>
        <v>6035746004.9357834</v>
      </c>
      <c r="D73" s="111">
        <f>Inversion!S41</f>
        <v>6035746004.9357834</v>
      </c>
      <c r="E73" s="111">
        <f>Inversion!U41</f>
        <v>0</v>
      </c>
      <c r="F73" s="112">
        <f>Inversion!W41</f>
        <v>0</v>
      </c>
      <c r="G73" s="112">
        <f>Inversion!X41</f>
        <v>0</v>
      </c>
      <c r="H73" s="112" t="str">
        <f>Inversion!Y41</f>
        <v>OK</v>
      </c>
      <c r="I73" s="112">
        <f>Inversion!Z41</f>
        <v>0</v>
      </c>
      <c r="J73" s="112">
        <f>Inversion!AA41</f>
        <v>0</v>
      </c>
      <c r="K73" s="112">
        <f>Inversion!AB41</f>
        <v>0</v>
      </c>
      <c r="L73" s="112">
        <f>Inversion!AC41</f>
        <v>0</v>
      </c>
      <c r="M73" s="112">
        <f>Inversion!AD41</f>
        <v>0</v>
      </c>
      <c r="N73" s="112">
        <f>Inversion!AE41</f>
        <v>0</v>
      </c>
      <c r="O73" s="112">
        <f>Inversion!AF41</f>
        <v>0</v>
      </c>
      <c r="P73" s="112">
        <f>Inversion!AG41</f>
        <v>0</v>
      </c>
      <c r="Q73" s="112">
        <f>Inversion!AH41</f>
        <v>0</v>
      </c>
      <c r="R73" s="112">
        <f>Inversion!AI41</f>
        <v>0</v>
      </c>
      <c r="S73" s="112">
        <f>Inversion!AJ41</f>
        <v>0</v>
      </c>
      <c r="T73" s="112">
        <f>Inversion!AK41</f>
        <v>0</v>
      </c>
      <c r="U73" s="112">
        <f>Inversion!AL41</f>
        <v>0</v>
      </c>
      <c r="V73" s="112">
        <f>Inversion!AM41</f>
        <v>0</v>
      </c>
      <c r="W73" s="112">
        <f>Inversion!AN41</f>
        <v>0</v>
      </c>
      <c r="X73" s="112">
        <f>Inversion!AO41</f>
        <v>0</v>
      </c>
      <c r="Y73" s="112">
        <f>Inversion!AP41</f>
        <v>0</v>
      </c>
      <c r="Z73" s="112">
        <f>Inversion!AQ41</f>
        <v>0</v>
      </c>
      <c r="AA73" s="112">
        <f>Inversion!AR41</f>
        <v>0</v>
      </c>
    </row>
    <row r="74" spans="1:27" ht="24" customHeight="1" x14ac:dyDescent="0.25">
      <c r="A74" s="595" t="s">
        <v>1492</v>
      </c>
      <c r="B74" s="596"/>
      <c r="C74" s="352">
        <f>Preinversion!C11*1000000</f>
        <v>270000000</v>
      </c>
      <c r="D74" s="352"/>
      <c r="E74" s="352"/>
      <c r="F74" s="353"/>
      <c r="G74" s="353"/>
      <c r="H74" s="353"/>
      <c r="I74" s="353"/>
      <c r="J74" s="353"/>
      <c r="K74" s="353"/>
      <c r="L74" s="353"/>
      <c r="M74" s="353"/>
      <c r="N74" s="353"/>
      <c r="O74" s="353"/>
      <c r="P74" s="353"/>
      <c r="Q74" s="353"/>
      <c r="R74" s="353"/>
      <c r="S74" s="353"/>
      <c r="T74" s="353"/>
      <c r="U74" s="353"/>
      <c r="V74" s="353"/>
      <c r="W74" s="353"/>
      <c r="X74" s="353"/>
      <c r="Y74" s="353"/>
      <c r="Z74" s="353"/>
      <c r="AA74" s="353"/>
    </row>
    <row r="75" spans="1:27" ht="23.25" customHeight="1" x14ac:dyDescent="0.25">
      <c r="A75" s="595" t="s">
        <v>1325</v>
      </c>
      <c r="B75" s="596"/>
      <c r="C75" s="352">
        <f>Inversion!D49</f>
        <v>91736072.072652489</v>
      </c>
      <c r="D75" s="352">
        <v>0</v>
      </c>
      <c r="E75" s="352">
        <v>0</v>
      </c>
      <c r="F75" s="353">
        <v>0</v>
      </c>
      <c r="G75" s="353">
        <v>0</v>
      </c>
      <c r="H75" s="353">
        <v>0</v>
      </c>
      <c r="I75" s="353">
        <v>0</v>
      </c>
      <c r="J75" s="353">
        <v>0</v>
      </c>
      <c r="K75" s="353">
        <v>0</v>
      </c>
      <c r="L75" s="353">
        <v>0</v>
      </c>
      <c r="M75" s="353">
        <v>0</v>
      </c>
      <c r="N75" s="353">
        <v>0</v>
      </c>
      <c r="O75" s="353">
        <v>0</v>
      </c>
      <c r="P75" s="353">
        <v>0</v>
      </c>
      <c r="Q75" s="353">
        <v>0</v>
      </c>
      <c r="R75" s="353">
        <v>0</v>
      </c>
      <c r="S75" s="353">
        <v>0</v>
      </c>
      <c r="T75" s="353">
        <v>0</v>
      </c>
      <c r="U75" s="353">
        <v>0</v>
      </c>
      <c r="V75" s="353">
        <v>0</v>
      </c>
      <c r="W75" s="353">
        <v>0</v>
      </c>
      <c r="X75" s="353">
        <v>0</v>
      </c>
      <c r="Y75" s="353">
        <v>0</v>
      </c>
      <c r="Z75" s="353">
        <v>0</v>
      </c>
      <c r="AA75" s="353">
        <v>0</v>
      </c>
    </row>
    <row r="76" spans="1:27" ht="23.25" customHeight="1" thickBot="1" x14ac:dyDescent="0.3">
      <c r="A76" s="595" t="s">
        <v>1496</v>
      </c>
      <c r="B76" s="596"/>
      <c r="C76" s="352"/>
      <c r="D76" s="352">
        <f>Financiacion!D6</f>
        <v>237182947.59791228</v>
      </c>
      <c r="E76" s="352">
        <f>Financiacion!E6</f>
        <v>219606578.7796793</v>
      </c>
      <c r="F76" s="353">
        <f>Financiacion!F6</f>
        <v>200887745.98826116</v>
      </c>
      <c r="G76" s="353">
        <f>Financiacion!G6</f>
        <v>180952189.06540087</v>
      </c>
      <c r="H76" s="353">
        <f>Financiacion!H6</f>
        <v>159720820.94255465</v>
      </c>
      <c r="I76" s="353">
        <f>Financiacion!I6</f>
        <v>137109413.89172342</v>
      </c>
      <c r="J76" s="353">
        <f>Financiacion!J6</f>
        <v>113028265.38258815</v>
      </c>
      <c r="K76" s="353">
        <f>Financiacion!K6</f>
        <v>87381842.220359102</v>
      </c>
      <c r="L76" s="353">
        <f>Financiacion!L6</f>
        <v>60068401.552585147</v>
      </c>
      <c r="M76" s="353">
        <f>Financiacion!M6</f>
        <v>30979587.241405901</v>
      </c>
      <c r="N76" s="353">
        <f>Financiacion!N6</f>
        <v>0</v>
      </c>
      <c r="O76" s="353">
        <f>Financiacion!O6</f>
        <v>0</v>
      </c>
      <c r="P76" s="353">
        <f>Financiacion!P6</f>
        <v>0</v>
      </c>
      <c r="Q76" s="353">
        <f>Financiacion!Q6</f>
        <v>0</v>
      </c>
      <c r="R76" s="353">
        <f>Financiacion!R6</f>
        <v>0</v>
      </c>
      <c r="S76" s="353">
        <f>Financiacion!S6</f>
        <v>0</v>
      </c>
      <c r="T76" s="353">
        <f>Financiacion!T6</f>
        <v>0</v>
      </c>
      <c r="U76" s="353">
        <f>Financiacion!U6</f>
        <v>0</v>
      </c>
      <c r="V76" s="353">
        <f>Financiacion!V6</f>
        <v>0</v>
      </c>
      <c r="W76" s="353">
        <f>Financiacion!W6</f>
        <v>0</v>
      </c>
      <c r="X76" s="353">
        <f>Financiacion!X6</f>
        <v>0</v>
      </c>
      <c r="Y76" s="353">
        <f>Financiacion!Y6</f>
        <v>0</v>
      </c>
      <c r="Z76" s="353">
        <f>Financiacion!Z6</f>
        <v>0</v>
      </c>
      <c r="AA76" s="353">
        <f>Financiacion!AA6</f>
        <v>0</v>
      </c>
    </row>
    <row r="77" spans="1:27" ht="27" customHeight="1" thickBot="1" x14ac:dyDescent="0.3">
      <c r="A77" s="597" t="s">
        <v>1495</v>
      </c>
      <c r="B77" s="598" t="s">
        <v>1494</v>
      </c>
      <c r="C77" s="113">
        <f>SUM(C73:C76)</f>
        <v>6397482077.0084362</v>
      </c>
      <c r="D77" s="113">
        <f t="shared" ref="D77:AA77" si="13">SUM(D73:D76)</f>
        <v>6272928952.5336952</v>
      </c>
      <c r="E77" s="113">
        <f t="shared" si="13"/>
        <v>219606578.7796793</v>
      </c>
      <c r="F77" s="113">
        <f t="shared" si="13"/>
        <v>200887745.98826116</v>
      </c>
      <c r="G77" s="113">
        <f t="shared" si="13"/>
        <v>180952189.06540087</v>
      </c>
      <c r="H77" s="113">
        <f t="shared" si="13"/>
        <v>159720820.94255465</v>
      </c>
      <c r="I77" s="113">
        <f t="shared" si="13"/>
        <v>137109413.89172342</v>
      </c>
      <c r="J77" s="113">
        <f t="shared" si="13"/>
        <v>113028265.38258815</v>
      </c>
      <c r="K77" s="113">
        <f t="shared" si="13"/>
        <v>87381842.220359102</v>
      </c>
      <c r="L77" s="113">
        <f t="shared" si="13"/>
        <v>60068401.552585147</v>
      </c>
      <c r="M77" s="113">
        <f t="shared" si="13"/>
        <v>30979587.241405901</v>
      </c>
      <c r="N77" s="113">
        <f t="shared" si="13"/>
        <v>0</v>
      </c>
      <c r="O77" s="113">
        <f t="shared" si="13"/>
        <v>0</v>
      </c>
      <c r="P77" s="113">
        <f t="shared" si="13"/>
        <v>0</v>
      </c>
      <c r="Q77" s="113">
        <f t="shared" si="13"/>
        <v>0</v>
      </c>
      <c r="R77" s="113">
        <f t="shared" si="13"/>
        <v>0</v>
      </c>
      <c r="S77" s="113">
        <f t="shared" si="13"/>
        <v>0</v>
      </c>
      <c r="T77" s="113">
        <f t="shared" si="13"/>
        <v>0</v>
      </c>
      <c r="U77" s="113">
        <f t="shared" si="13"/>
        <v>0</v>
      </c>
      <c r="V77" s="113">
        <f t="shared" si="13"/>
        <v>0</v>
      </c>
      <c r="W77" s="113">
        <f t="shared" si="13"/>
        <v>0</v>
      </c>
      <c r="X77" s="113">
        <f t="shared" si="13"/>
        <v>0</v>
      </c>
      <c r="Y77" s="113">
        <f t="shared" si="13"/>
        <v>0</v>
      </c>
      <c r="Z77" s="113">
        <f t="shared" si="13"/>
        <v>0</v>
      </c>
      <c r="AA77" s="113">
        <f t="shared" si="13"/>
        <v>0</v>
      </c>
    </row>
  </sheetData>
  <mergeCells count="25">
    <mergeCell ref="A25:AB25"/>
    <mergeCell ref="A41:A42"/>
    <mergeCell ref="A40:B40"/>
    <mergeCell ref="C71:F71"/>
    <mergeCell ref="A67:B67"/>
    <mergeCell ref="AB26:AB27"/>
    <mergeCell ref="A26:B27"/>
    <mergeCell ref="C26:AA26"/>
    <mergeCell ref="A33:A39"/>
    <mergeCell ref="A74:B74"/>
    <mergeCell ref="A28:A32"/>
    <mergeCell ref="A77:B77"/>
    <mergeCell ref="A76:B76"/>
    <mergeCell ref="B2:C11"/>
    <mergeCell ref="A71:B72"/>
    <mergeCell ref="A73:B73"/>
    <mergeCell ref="A75:B75"/>
    <mergeCell ref="A61:B62"/>
    <mergeCell ref="C61:G61"/>
    <mergeCell ref="A66:B66"/>
    <mergeCell ref="A65:B65"/>
    <mergeCell ref="A64:B64"/>
    <mergeCell ref="A63:B63"/>
    <mergeCell ref="A44:C44"/>
    <mergeCell ref="A13:B13"/>
  </mergeCells>
  <pageMargins left="0.7" right="0.7" top="0.75" bottom="0.75" header="0.3" footer="0.3"/>
  <pageSetup paperSize="8" orientation="portrait" horizontalDpi="300" verticalDpi="300" r:id="rId1"/>
  <ignoredErrors>
    <ignoredError sqref="H30:AB32" formula="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19"/>
  <sheetViews>
    <sheetView zoomScale="75" zoomScaleNormal="75" workbookViewId="0">
      <selection activeCell="C8" sqref="C8"/>
    </sheetView>
  </sheetViews>
  <sheetFormatPr baseColWidth="10" defaultRowHeight="15" x14ac:dyDescent="0.2"/>
  <cols>
    <col min="1" max="1" width="3.5703125" style="552" customWidth="1"/>
    <col min="2" max="2" width="58.5703125" style="552" bestFit="1" customWidth="1"/>
    <col min="3" max="9" width="8.7109375" style="552" customWidth="1"/>
    <col min="10" max="22" width="10" style="552" customWidth="1"/>
    <col min="23" max="27" width="10" style="552" bestFit="1" customWidth="1"/>
    <col min="28" max="16384" width="11.42578125" style="552"/>
  </cols>
  <sheetData>
    <row r="2" spans="2:27" ht="15.75" thickBot="1" x14ac:dyDescent="0.25">
      <c r="B2" s="553"/>
      <c r="C2" s="553"/>
      <c r="D2" s="553"/>
      <c r="E2" s="553"/>
      <c r="F2" s="553"/>
      <c r="G2" s="553"/>
      <c r="H2" s="553"/>
      <c r="I2" s="553"/>
      <c r="J2" s="553"/>
      <c r="K2" s="553"/>
      <c r="L2" s="553"/>
      <c r="M2" s="553"/>
      <c r="N2" s="553"/>
      <c r="O2" s="553"/>
      <c r="P2" s="553"/>
      <c r="Q2" s="553"/>
      <c r="R2" s="553"/>
      <c r="S2" s="553"/>
      <c r="T2" s="553"/>
      <c r="U2" s="553"/>
      <c r="V2" s="553"/>
      <c r="W2" s="553"/>
      <c r="X2" s="553"/>
      <c r="Y2" s="553"/>
      <c r="Z2" s="553"/>
      <c r="AA2" s="553"/>
    </row>
    <row r="3" spans="2:27" ht="15.75" customHeight="1" thickBot="1" x14ac:dyDescent="0.25">
      <c r="B3" s="545" t="s">
        <v>1484</v>
      </c>
      <c r="C3" s="676" t="s">
        <v>1485</v>
      </c>
      <c r="D3" s="676"/>
      <c r="E3" s="546" t="s">
        <v>1227</v>
      </c>
      <c r="F3" s="677" t="s">
        <v>1486</v>
      </c>
      <c r="G3" s="677"/>
      <c r="H3" s="551"/>
      <c r="I3" s="551"/>
      <c r="J3" s="551"/>
      <c r="K3" s="551"/>
      <c r="L3" s="551"/>
      <c r="M3" s="551"/>
      <c r="N3" s="551"/>
      <c r="O3" s="551"/>
      <c r="P3" s="551"/>
      <c r="Q3" s="551"/>
      <c r="R3" s="551"/>
      <c r="S3" s="551"/>
      <c r="T3" s="551"/>
      <c r="U3" s="551"/>
      <c r="V3" s="551"/>
      <c r="W3" s="551"/>
      <c r="X3" s="551"/>
      <c r="Y3" s="551"/>
      <c r="Z3" s="551"/>
      <c r="AA3" s="551"/>
    </row>
    <row r="4" spans="2:27" ht="16.5" thickBot="1" x14ac:dyDescent="0.25">
      <c r="B4" s="551" t="s">
        <v>965</v>
      </c>
      <c r="C4" s="557">
        <v>1</v>
      </c>
      <c r="D4" s="557">
        <v>2</v>
      </c>
      <c r="E4" s="557">
        <v>3</v>
      </c>
      <c r="F4" s="557">
        <v>4</v>
      </c>
      <c r="G4" s="557">
        <v>5</v>
      </c>
      <c r="H4" s="557">
        <v>6</v>
      </c>
      <c r="I4" s="557">
        <v>7</v>
      </c>
      <c r="J4" s="557">
        <v>8</v>
      </c>
      <c r="K4" s="557">
        <v>9</v>
      </c>
      <c r="L4" s="557">
        <v>10</v>
      </c>
      <c r="M4" s="557">
        <v>11</v>
      </c>
      <c r="N4" s="557">
        <v>12</v>
      </c>
      <c r="O4" s="557">
        <v>13</v>
      </c>
      <c r="P4" s="557">
        <v>14</v>
      </c>
      <c r="Q4" s="557">
        <v>15</v>
      </c>
      <c r="R4" s="557">
        <v>16</v>
      </c>
      <c r="S4" s="557">
        <v>17</v>
      </c>
      <c r="T4" s="557">
        <v>18</v>
      </c>
      <c r="U4" s="557">
        <v>19</v>
      </c>
      <c r="V4" s="557">
        <v>20</v>
      </c>
      <c r="W4" s="557">
        <v>21</v>
      </c>
      <c r="X4" s="557">
        <v>22</v>
      </c>
      <c r="Y4" s="557">
        <v>23</v>
      </c>
      <c r="Z4" s="557">
        <v>24</v>
      </c>
      <c r="AA4" s="557">
        <v>25</v>
      </c>
    </row>
    <row r="5" spans="2:27" ht="15.75" x14ac:dyDescent="0.2">
      <c r="B5" s="547" t="s">
        <v>1573</v>
      </c>
    </row>
    <row r="6" spans="2:27" x14ac:dyDescent="0.2">
      <c r="B6" s="548" t="s">
        <v>1565</v>
      </c>
      <c r="C6" s="554">
        <f>Financiacion!C10/1000000</f>
        <v>3648.9684245832659</v>
      </c>
      <c r="D6" s="554"/>
      <c r="E6" s="554"/>
      <c r="F6" s="554"/>
      <c r="G6" s="554"/>
      <c r="H6" s="554"/>
      <c r="I6" s="554"/>
      <c r="J6" s="554"/>
      <c r="K6" s="554"/>
      <c r="L6" s="554"/>
      <c r="M6" s="554"/>
      <c r="N6" s="554"/>
      <c r="O6" s="554"/>
      <c r="P6" s="554"/>
      <c r="Q6" s="554"/>
      <c r="R6" s="554"/>
      <c r="S6" s="554"/>
      <c r="T6" s="554"/>
      <c r="U6" s="554"/>
      <c r="V6" s="554"/>
      <c r="W6" s="554"/>
      <c r="X6" s="554"/>
      <c r="Y6" s="554"/>
      <c r="Z6" s="554"/>
      <c r="AA6" s="554"/>
    </row>
    <row r="7" spans="2:27" x14ac:dyDescent="0.2">
      <c r="B7" s="548" t="s">
        <v>1574</v>
      </c>
      <c r="C7" s="554">
        <f>Financiacion!C9*0.4/1000000</f>
        <v>3405.7038629443819</v>
      </c>
      <c r="D7" s="554">
        <f>Financiacion!C9*0.6/1000000</f>
        <v>5108.5557944165712</v>
      </c>
      <c r="E7" s="554"/>
      <c r="F7" s="554"/>
      <c r="G7" s="554"/>
      <c r="H7" s="554"/>
      <c r="I7" s="554"/>
      <c r="J7" s="554"/>
      <c r="K7" s="554"/>
      <c r="L7" s="554"/>
      <c r="M7" s="554"/>
      <c r="N7" s="554"/>
      <c r="O7" s="554"/>
      <c r="P7" s="554"/>
      <c r="Q7" s="554"/>
      <c r="R7" s="554"/>
      <c r="S7" s="554"/>
      <c r="T7" s="554"/>
      <c r="U7" s="554"/>
      <c r="V7" s="554"/>
      <c r="W7" s="554"/>
      <c r="X7" s="554"/>
      <c r="Y7" s="554"/>
      <c r="Z7" s="554"/>
      <c r="AA7" s="554"/>
    </row>
    <row r="8" spans="2:27" ht="15.75" thickBot="1" x14ac:dyDescent="0.25">
      <c r="B8" s="549" t="s">
        <v>1575</v>
      </c>
      <c r="C8" s="555">
        <f>Evaluación!C39</f>
        <v>1436.5317725008822</v>
      </c>
      <c r="D8" s="555">
        <f>Evaluación!D39</f>
        <v>1309.3395013407701</v>
      </c>
      <c r="E8" s="555">
        <f>Evaluación!E39</f>
        <v>1585.0023609637728</v>
      </c>
      <c r="F8" s="555">
        <f>Evaluación!F39</f>
        <v>1585.5539177581641</v>
      </c>
      <c r="G8" s="555">
        <f>Evaluación!G39</f>
        <v>2112.1478967021026</v>
      </c>
      <c r="H8" s="555">
        <f>Evaluación!H39</f>
        <v>2112.1478967021026</v>
      </c>
      <c r="I8" s="555">
        <f>Evaluación!I39</f>
        <v>2112.1478967021026</v>
      </c>
      <c r="J8" s="555">
        <f>Evaluación!J39</f>
        <v>2112.1478967021026</v>
      </c>
      <c r="K8" s="555">
        <f>Evaluación!K39</f>
        <v>2112.1478967021026</v>
      </c>
      <c r="L8" s="555">
        <f>Evaluación!L39</f>
        <v>2112.1478967021026</v>
      </c>
      <c r="M8" s="555">
        <f>Evaluación!M39</f>
        <v>2112.1478967021026</v>
      </c>
      <c r="N8" s="555">
        <f>Evaluación!N39</f>
        <v>2112.1478967021026</v>
      </c>
      <c r="O8" s="555">
        <f>Evaluación!O39</f>
        <v>2112.1478967021026</v>
      </c>
      <c r="P8" s="555">
        <f>Evaluación!P39</f>
        <v>2112.1478967021026</v>
      </c>
      <c r="Q8" s="555">
        <f>Evaluación!Q39</f>
        <v>2112.1478967021026</v>
      </c>
      <c r="R8" s="555">
        <f>Evaluación!R39</f>
        <v>2112.1478967021026</v>
      </c>
      <c r="S8" s="555">
        <f>Evaluación!S39</f>
        <v>2112.1478967021026</v>
      </c>
      <c r="T8" s="555">
        <f>Evaluación!T39</f>
        <v>2112.1478967021026</v>
      </c>
      <c r="U8" s="555">
        <f>Evaluación!U39</f>
        <v>2112.1478967021026</v>
      </c>
      <c r="V8" s="555">
        <f>Evaluación!V39</f>
        <v>2112.1478967021026</v>
      </c>
      <c r="W8" s="555">
        <f>Evaluación!W39</f>
        <v>2112.1478967021026</v>
      </c>
      <c r="X8" s="555">
        <f>Evaluación!X39</f>
        <v>2112.1478967021026</v>
      </c>
      <c r="Y8" s="555">
        <f>Evaluación!Y39</f>
        <v>2112.1478967021026</v>
      </c>
      <c r="Z8" s="555">
        <f>Evaluación!Z39</f>
        <v>2112.1478967021026</v>
      </c>
      <c r="AA8" s="555">
        <f>Evaluación!AA39</f>
        <v>2112.1478967021026</v>
      </c>
    </row>
    <row r="9" spans="2:27" ht="16.5" thickBot="1" x14ac:dyDescent="0.25">
      <c r="B9" s="545" t="s">
        <v>1566</v>
      </c>
      <c r="C9" s="555">
        <f>SUM(C6:C8)</f>
        <v>8491.2040600285309</v>
      </c>
      <c r="D9" s="555">
        <f t="shared" ref="D9:AA9" si="0">SUM(D6:D8)</f>
        <v>6417.895295757341</v>
      </c>
      <c r="E9" s="555">
        <f t="shared" si="0"/>
        <v>1585.0023609637728</v>
      </c>
      <c r="F9" s="555">
        <f t="shared" si="0"/>
        <v>1585.5539177581641</v>
      </c>
      <c r="G9" s="555">
        <f t="shared" si="0"/>
        <v>2112.1478967021026</v>
      </c>
      <c r="H9" s="555">
        <f t="shared" si="0"/>
        <v>2112.1478967021026</v>
      </c>
      <c r="I9" s="555">
        <f t="shared" si="0"/>
        <v>2112.1478967021026</v>
      </c>
      <c r="J9" s="555">
        <f t="shared" si="0"/>
        <v>2112.1478967021026</v>
      </c>
      <c r="K9" s="555">
        <f t="shared" si="0"/>
        <v>2112.1478967021026</v>
      </c>
      <c r="L9" s="555">
        <f t="shared" si="0"/>
        <v>2112.1478967021026</v>
      </c>
      <c r="M9" s="555">
        <f t="shared" si="0"/>
        <v>2112.1478967021026</v>
      </c>
      <c r="N9" s="555">
        <f t="shared" si="0"/>
        <v>2112.1478967021026</v>
      </c>
      <c r="O9" s="555">
        <f t="shared" si="0"/>
        <v>2112.1478967021026</v>
      </c>
      <c r="P9" s="555">
        <f t="shared" si="0"/>
        <v>2112.1478967021026</v>
      </c>
      <c r="Q9" s="555">
        <f t="shared" si="0"/>
        <v>2112.1478967021026</v>
      </c>
      <c r="R9" s="555">
        <f t="shared" si="0"/>
        <v>2112.1478967021026</v>
      </c>
      <c r="S9" s="555">
        <f t="shared" si="0"/>
        <v>2112.1478967021026</v>
      </c>
      <c r="T9" s="555">
        <f t="shared" si="0"/>
        <v>2112.1478967021026</v>
      </c>
      <c r="U9" s="555">
        <f t="shared" si="0"/>
        <v>2112.1478967021026</v>
      </c>
      <c r="V9" s="555">
        <f t="shared" si="0"/>
        <v>2112.1478967021026</v>
      </c>
      <c r="W9" s="555">
        <f t="shared" si="0"/>
        <v>2112.1478967021026</v>
      </c>
      <c r="X9" s="555">
        <f t="shared" si="0"/>
        <v>2112.1478967021026</v>
      </c>
      <c r="Y9" s="555">
        <f t="shared" si="0"/>
        <v>2112.1478967021026</v>
      </c>
      <c r="Z9" s="555">
        <f t="shared" si="0"/>
        <v>2112.1478967021026</v>
      </c>
      <c r="AA9" s="555">
        <f t="shared" si="0"/>
        <v>2112.1478967021026</v>
      </c>
    </row>
    <row r="10" spans="2:27" ht="15.75" x14ac:dyDescent="0.2">
      <c r="B10" s="547" t="s">
        <v>1567</v>
      </c>
      <c r="C10" s="554"/>
      <c r="D10" s="554"/>
      <c r="E10" s="554"/>
      <c r="F10" s="554"/>
      <c r="G10" s="554"/>
      <c r="H10" s="554"/>
      <c r="I10" s="554"/>
      <c r="J10" s="554"/>
      <c r="K10" s="554"/>
      <c r="L10" s="554"/>
      <c r="M10" s="554"/>
      <c r="N10" s="554"/>
      <c r="O10" s="554"/>
      <c r="P10" s="554"/>
      <c r="Q10" s="554"/>
      <c r="R10" s="554"/>
      <c r="S10" s="554"/>
      <c r="T10" s="554"/>
      <c r="U10" s="554"/>
      <c r="V10" s="554"/>
      <c r="W10" s="554"/>
      <c r="X10" s="554"/>
      <c r="Y10" s="554"/>
      <c r="Z10" s="554"/>
      <c r="AA10" s="554"/>
    </row>
    <row r="11" spans="2:27" x14ac:dyDescent="0.2">
      <c r="B11" s="548" t="s">
        <v>1576</v>
      </c>
      <c r="C11" s="554">
        <f>Evaluación!C28</f>
        <v>270</v>
      </c>
      <c r="D11" s="554">
        <f>Evaluación!D28</f>
        <v>0</v>
      </c>
      <c r="E11" s="554">
        <f>Evaluación!E28</f>
        <v>0</v>
      </c>
      <c r="F11" s="554">
        <f>Evaluación!F28</f>
        <v>0</v>
      </c>
      <c r="G11" s="554">
        <f>Evaluación!G28</f>
        <v>0</v>
      </c>
      <c r="H11" s="554">
        <f>Evaluación!H28</f>
        <v>0</v>
      </c>
      <c r="I11" s="554">
        <f>Evaluación!I28</f>
        <v>0</v>
      </c>
      <c r="J11" s="554">
        <f>Evaluación!J28</f>
        <v>0</v>
      </c>
      <c r="K11" s="554">
        <f>Evaluación!K28</f>
        <v>0</v>
      </c>
      <c r="L11" s="554">
        <f>Evaluación!L28</f>
        <v>0</v>
      </c>
      <c r="M11" s="554">
        <f>Evaluación!M28</f>
        <v>0</v>
      </c>
      <c r="N11" s="554">
        <f>Evaluación!N28</f>
        <v>0</v>
      </c>
      <c r="O11" s="554">
        <f>Evaluación!O28</f>
        <v>0</v>
      </c>
      <c r="P11" s="554">
        <f>Evaluación!P28</f>
        <v>0</v>
      </c>
      <c r="Q11" s="554">
        <f>Evaluación!Q28</f>
        <v>0</v>
      </c>
      <c r="R11" s="554">
        <f>Evaluación!R28</f>
        <v>0</v>
      </c>
      <c r="S11" s="554">
        <f>Evaluación!S28</f>
        <v>0</v>
      </c>
      <c r="T11" s="554">
        <f>Evaluación!T28</f>
        <v>0</v>
      </c>
      <c r="U11" s="554">
        <f>Evaluación!U28</f>
        <v>0</v>
      </c>
      <c r="V11" s="554">
        <f>Evaluación!V28</f>
        <v>0</v>
      </c>
      <c r="W11" s="554">
        <f>Evaluación!W28</f>
        <v>0</v>
      </c>
      <c r="X11" s="554">
        <f>Evaluación!X28</f>
        <v>0</v>
      </c>
      <c r="Y11" s="554">
        <f>Evaluación!Y28</f>
        <v>0</v>
      </c>
      <c r="Z11" s="554">
        <f>Evaluación!Z28</f>
        <v>0</v>
      </c>
      <c r="AA11" s="554">
        <f>Evaluación!AA28</f>
        <v>0</v>
      </c>
    </row>
    <row r="12" spans="2:27" x14ac:dyDescent="0.2">
      <c r="B12" s="550" t="s">
        <v>1577</v>
      </c>
      <c r="C12" s="554">
        <f>Evaluación!C29</f>
        <v>6127.4820770084361</v>
      </c>
      <c r="D12" s="554">
        <f>Evaluación!D29</f>
        <v>6035.7460049357833</v>
      </c>
      <c r="E12" s="554">
        <f>Evaluación!E29</f>
        <v>0</v>
      </c>
      <c r="F12" s="554">
        <f>Evaluación!F29</f>
        <v>0</v>
      </c>
      <c r="G12" s="554">
        <f>Evaluación!G29</f>
        <v>0</v>
      </c>
      <c r="H12" s="554">
        <f>Evaluación!H29</f>
        <v>0</v>
      </c>
      <c r="I12" s="554">
        <f>Evaluación!I29</f>
        <v>0</v>
      </c>
      <c r="J12" s="554">
        <f>Evaluación!J29</f>
        <v>0</v>
      </c>
      <c r="K12" s="554">
        <f>Evaluación!K29</f>
        <v>0</v>
      </c>
      <c r="L12" s="554">
        <f>Evaluación!L29</f>
        <v>0</v>
      </c>
      <c r="M12" s="554">
        <f>Evaluación!M29</f>
        <v>0</v>
      </c>
      <c r="N12" s="554">
        <f>Evaluación!N29</f>
        <v>0</v>
      </c>
      <c r="O12" s="554">
        <f>Evaluación!O29</f>
        <v>0</v>
      </c>
      <c r="P12" s="554">
        <f>Evaluación!P29</f>
        <v>0</v>
      </c>
      <c r="Q12" s="554">
        <f>Evaluación!Q29</f>
        <v>0</v>
      </c>
      <c r="R12" s="554">
        <f>Evaluación!R29</f>
        <v>0</v>
      </c>
      <c r="S12" s="554">
        <f>Evaluación!S29</f>
        <v>0</v>
      </c>
      <c r="T12" s="554">
        <f>Evaluación!T29</f>
        <v>0</v>
      </c>
      <c r="U12" s="554">
        <f>Evaluación!U29</f>
        <v>0</v>
      </c>
      <c r="V12" s="554">
        <f>Evaluación!V29</f>
        <v>0</v>
      </c>
      <c r="W12" s="554">
        <f>Evaluación!W29</f>
        <v>0</v>
      </c>
      <c r="X12" s="554">
        <f>Evaluación!X29</f>
        <v>0</v>
      </c>
      <c r="Y12" s="554">
        <f>Evaluación!Y29</f>
        <v>0</v>
      </c>
      <c r="Z12" s="554">
        <f>Evaluación!Z29</f>
        <v>0</v>
      </c>
      <c r="AA12" s="554">
        <f>Evaluación!AA29</f>
        <v>0</v>
      </c>
    </row>
    <row r="13" spans="2:27" x14ac:dyDescent="0.2">
      <c r="B13" s="548" t="s">
        <v>1578</v>
      </c>
      <c r="C13" s="554">
        <f>Evaluación!C30</f>
        <v>0</v>
      </c>
      <c r="D13" s="554">
        <f>Evaluación!D30</f>
        <v>237.18294759791229</v>
      </c>
      <c r="E13" s="554">
        <f>Evaluación!E30</f>
        <v>219.6065787796793</v>
      </c>
      <c r="F13" s="554">
        <f>Evaluación!F30</f>
        <v>200.88774598826117</v>
      </c>
      <c r="G13" s="554">
        <f>Evaluación!G30</f>
        <v>180.95218906540086</v>
      </c>
      <c r="H13" s="554">
        <f>Evaluación!H30</f>
        <v>159.72082094255464</v>
      </c>
      <c r="I13" s="554">
        <f>Evaluación!I30</f>
        <v>137.10941389172342</v>
      </c>
      <c r="J13" s="554">
        <f>Evaluación!J30</f>
        <v>113.02826538258815</v>
      </c>
      <c r="K13" s="554">
        <f>Evaluación!K30</f>
        <v>87.381842220359104</v>
      </c>
      <c r="L13" s="554">
        <f>Evaluación!L30</f>
        <v>60.068401552585151</v>
      </c>
      <c r="M13" s="554">
        <f>Evaluación!M30</f>
        <v>30.979587241405902</v>
      </c>
      <c r="N13" s="554">
        <f>Evaluación!N30</f>
        <v>0</v>
      </c>
      <c r="O13" s="554">
        <f>Evaluación!O30</f>
        <v>0</v>
      </c>
      <c r="P13" s="554">
        <f>Evaluación!P30</f>
        <v>0</v>
      </c>
      <c r="Q13" s="554">
        <f>Evaluación!Q30</f>
        <v>0</v>
      </c>
      <c r="R13" s="554">
        <f>Evaluación!R30</f>
        <v>0</v>
      </c>
      <c r="S13" s="554">
        <f>Evaluación!S30</f>
        <v>0</v>
      </c>
      <c r="T13" s="554">
        <f>Evaluación!T30</f>
        <v>0</v>
      </c>
      <c r="U13" s="554">
        <f>Evaluación!U30</f>
        <v>0</v>
      </c>
      <c r="V13" s="554">
        <f>Evaluación!V30</f>
        <v>0</v>
      </c>
      <c r="W13" s="554">
        <f>Evaluación!W30</f>
        <v>0</v>
      </c>
      <c r="X13" s="554">
        <f>Evaluación!X30</f>
        <v>0</v>
      </c>
      <c r="Y13" s="554">
        <f>Evaluación!Y30</f>
        <v>0</v>
      </c>
      <c r="Z13" s="554">
        <f>Evaluación!Z30</f>
        <v>0</v>
      </c>
      <c r="AA13" s="554">
        <f>Evaluación!AA30</f>
        <v>0</v>
      </c>
    </row>
    <row r="14" spans="2:27" x14ac:dyDescent="0.2">
      <c r="B14" s="548" t="s">
        <v>1579</v>
      </c>
      <c r="C14" s="554">
        <f>Evaluación!C31</f>
        <v>0</v>
      </c>
      <c r="D14" s="554">
        <f>Evaluación!D31</f>
        <v>0</v>
      </c>
      <c r="E14" s="554">
        <f>Evaluación!E31</f>
        <v>234.05623975384617</v>
      </c>
      <c r="F14" s="554">
        <f>Evaluación!F31</f>
        <v>234.05623975384617</v>
      </c>
      <c r="G14" s="554">
        <f>Evaluación!G31</f>
        <v>234.05623975384617</v>
      </c>
      <c r="H14" s="554">
        <f>Evaluación!H31</f>
        <v>234.05623975384617</v>
      </c>
      <c r="I14" s="554">
        <f>Evaluación!I31</f>
        <v>234.05623975384617</v>
      </c>
      <c r="J14" s="554">
        <f>Evaluación!J31</f>
        <v>234.05623975384617</v>
      </c>
      <c r="K14" s="554">
        <f>Evaluación!K31</f>
        <v>234.05623975384617</v>
      </c>
      <c r="L14" s="554">
        <f>Evaluación!L31</f>
        <v>234.05623975384617</v>
      </c>
      <c r="M14" s="554">
        <f>Evaluación!M31</f>
        <v>234.05623975384617</v>
      </c>
      <c r="N14" s="554">
        <f>Evaluación!N31</f>
        <v>234.05623975384617</v>
      </c>
      <c r="O14" s="554">
        <f>Evaluación!O31</f>
        <v>234.05623975384617</v>
      </c>
      <c r="P14" s="554">
        <f>Evaluación!P31</f>
        <v>234.05623975384617</v>
      </c>
      <c r="Q14" s="554">
        <f>Evaluación!Q31</f>
        <v>234.05623975384617</v>
      </c>
      <c r="R14" s="554">
        <f>Evaluación!R31</f>
        <v>234.05623975384617</v>
      </c>
      <c r="S14" s="554">
        <f>Evaluación!S31</f>
        <v>234.05623975384617</v>
      </c>
      <c r="T14" s="554">
        <f>Evaluación!T31</f>
        <v>234.05623975384617</v>
      </c>
      <c r="U14" s="554">
        <f>Evaluación!U31</f>
        <v>234.05623975384617</v>
      </c>
      <c r="V14" s="554">
        <f>Evaluación!V31</f>
        <v>234.05623975384617</v>
      </c>
      <c r="W14" s="554">
        <f>Evaluación!W31</f>
        <v>234.05623975384617</v>
      </c>
      <c r="X14" s="554">
        <f>Evaluación!X31</f>
        <v>234.05623975384617</v>
      </c>
      <c r="Y14" s="554">
        <f>Evaluación!Y31</f>
        <v>234.05623975384617</v>
      </c>
      <c r="Z14" s="554">
        <f>Evaluación!Z31</f>
        <v>234.05623975384617</v>
      </c>
      <c r="AA14" s="554">
        <f>Evaluación!AA31</f>
        <v>234.05623975384617</v>
      </c>
    </row>
    <row r="15" spans="2:27" x14ac:dyDescent="0.2">
      <c r="B15" s="548" t="s">
        <v>1568</v>
      </c>
      <c r="C15" s="554"/>
      <c r="D15" s="554"/>
      <c r="E15" s="554"/>
      <c r="F15" s="554"/>
      <c r="G15" s="554"/>
      <c r="H15" s="554"/>
      <c r="I15" s="554"/>
      <c r="J15" s="554"/>
      <c r="K15" s="554"/>
      <c r="L15" s="554"/>
      <c r="M15" s="554"/>
      <c r="N15" s="554"/>
      <c r="O15" s="554"/>
      <c r="P15" s="554"/>
      <c r="Q15" s="554"/>
      <c r="R15" s="554"/>
      <c r="S15" s="554"/>
      <c r="T15" s="554"/>
      <c r="U15" s="554"/>
      <c r="V15" s="554"/>
      <c r="W15" s="554"/>
      <c r="X15" s="554"/>
      <c r="Y15" s="554"/>
      <c r="Z15" s="554"/>
      <c r="AA15" s="554"/>
    </row>
    <row r="16" spans="2:27" x14ac:dyDescent="0.2">
      <c r="B16" s="548" t="s">
        <v>1569</v>
      </c>
      <c r="C16" s="554"/>
      <c r="D16" s="554"/>
      <c r="E16" s="554"/>
      <c r="F16" s="554"/>
      <c r="G16" s="554"/>
      <c r="H16" s="554"/>
      <c r="I16" s="554"/>
      <c r="J16" s="554"/>
      <c r="K16" s="554"/>
      <c r="L16" s="554"/>
      <c r="M16" s="554"/>
      <c r="N16" s="554"/>
      <c r="O16" s="554"/>
      <c r="P16" s="554"/>
      <c r="Q16" s="554"/>
      <c r="R16" s="554"/>
      <c r="S16" s="554"/>
      <c r="T16" s="554"/>
      <c r="U16" s="554"/>
      <c r="V16" s="554"/>
      <c r="W16" s="554"/>
      <c r="X16" s="554"/>
      <c r="Y16" s="554"/>
      <c r="Z16" s="554"/>
      <c r="AA16" s="554"/>
    </row>
    <row r="17" spans="2:27" ht="16.5" thickBot="1" x14ac:dyDescent="0.25">
      <c r="B17" s="545" t="s">
        <v>1570</v>
      </c>
      <c r="C17" s="555">
        <f>SUM(C11:C16)</f>
        <v>6397.4820770084361</v>
      </c>
      <c r="D17" s="555">
        <f t="shared" ref="D17:AA17" si="1">SUM(D11:D16)</f>
        <v>6272.9289525336953</v>
      </c>
      <c r="E17" s="555">
        <f t="shared" si="1"/>
        <v>453.66281853352547</v>
      </c>
      <c r="F17" s="555">
        <f t="shared" si="1"/>
        <v>434.94398574210732</v>
      </c>
      <c r="G17" s="555">
        <f t="shared" si="1"/>
        <v>415.008428819247</v>
      </c>
      <c r="H17" s="555">
        <f t="shared" si="1"/>
        <v>393.77706069640078</v>
      </c>
      <c r="I17" s="555">
        <f t="shared" si="1"/>
        <v>371.16565364556959</v>
      </c>
      <c r="J17" s="555">
        <f t="shared" si="1"/>
        <v>347.0845051364343</v>
      </c>
      <c r="K17" s="555">
        <f t="shared" si="1"/>
        <v>321.43808197420526</v>
      </c>
      <c r="L17" s="555">
        <f t="shared" si="1"/>
        <v>294.12464130643133</v>
      </c>
      <c r="M17" s="555">
        <f t="shared" si="1"/>
        <v>265.03582699525208</v>
      </c>
      <c r="N17" s="555">
        <f t="shared" si="1"/>
        <v>234.05623975384617</v>
      </c>
      <c r="O17" s="555">
        <f t="shared" si="1"/>
        <v>234.05623975384617</v>
      </c>
      <c r="P17" s="555">
        <f t="shared" si="1"/>
        <v>234.05623975384617</v>
      </c>
      <c r="Q17" s="555">
        <f t="shared" si="1"/>
        <v>234.05623975384617</v>
      </c>
      <c r="R17" s="555">
        <f t="shared" si="1"/>
        <v>234.05623975384617</v>
      </c>
      <c r="S17" s="555">
        <f t="shared" si="1"/>
        <v>234.05623975384617</v>
      </c>
      <c r="T17" s="555">
        <f t="shared" si="1"/>
        <v>234.05623975384617</v>
      </c>
      <c r="U17" s="555">
        <f t="shared" si="1"/>
        <v>234.05623975384617</v>
      </c>
      <c r="V17" s="555">
        <f t="shared" si="1"/>
        <v>234.05623975384617</v>
      </c>
      <c r="W17" s="555">
        <f t="shared" si="1"/>
        <v>234.05623975384617</v>
      </c>
      <c r="X17" s="555">
        <f t="shared" si="1"/>
        <v>234.05623975384617</v>
      </c>
      <c r="Y17" s="555">
        <f t="shared" si="1"/>
        <v>234.05623975384617</v>
      </c>
      <c r="Z17" s="555">
        <f t="shared" si="1"/>
        <v>234.05623975384617</v>
      </c>
      <c r="AA17" s="555">
        <f t="shared" si="1"/>
        <v>234.05623975384617</v>
      </c>
    </row>
    <row r="18" spans="2:27" ht="16.5" thickBot="1" x14ac:dyDescent="0.25">
      <c r="B18" s="551" t="s">
        <v>1571</v>
      </c>
      <c r="C18" s="556">
        <f>C9-C17</f>
        <v>2093.7219830200947</v>
      </c>
      <c r="D18" s="556">
        <f t="shared" ref="D18:AA18" si="2">D9-D17</f>
        <v>144.96634322364571</v>
      </c>
      <c r="E18" s="556">
        <f t="shared" si="2"/>
        <v>1131.3395424302473</v>
      </c>
      <c r="F18" s="556">
        <f t="shared" si="2"/>
        <v>1150.6099320160567</v>
      </c>
      <c r="G18" s="556">
        <f t="shared" si="2"/>
        <v>1697.1394678828556</v>
      </c>
      <c r="H18" s="556">
        <f t="shared" si="2"/>
        <v>1718.3708360057017</v>
      </c>
      <c r="I18" s="556">
        <f t="shared" si="2"/>
        <v>1740.982243056533</v>
      </c>
      <c r="J18" s="556">
        <f t="shared" si="2"/>
        <v>1765.0633915656683</v>
      </c>
      <c r="K18" s="556">
        <f t="shared" si="2"/>
        <v>1790.7098147278973</v>
      </c>
      <c r="L18" s="556">
        <f t="shared" si="2"/>
        <v>1818.0232553956712</v>
      </c>
      <c r="M18" s="556">
        <f t="shared" si="2"/>
        <v>1847.1120697068504</v>
      </c>
      <c r="N18" s="556">
        <f t="shared" si="2"/>
        <v>1878.0916569482565</v>
      </c>
      <c r="O18" s="556">
        <f t="shared" si="2"/>
        <v>1878.0916569482565</v>
      </c>
      <c r="P18" s="556">
        <f t="shared" si="2"/>
        <v>1878.0916569482565</v>
      </c>
      <c r="Q18" s="556">
        <f t="shared" si="2"/>
        <v>1878.0916569482565</v>
      </c>
      <c r="R18" s="556">
        <f t="shared" si="2"/>
        <v>1878.0916569482565</v>
      </c>
      <c r="S18" s="556">
        <f t="shared" si="2"/>
        <v>1878.0916569482565</v>
      </c>
      <c r="T18" s="556">
        <f t="shared" si="2"/>
        <v>1878.0916569482565</v>
      </c>
      <c r="U18" s="556">
        <f t="shared" si="2"/>
        <v>1878.0916569482565</v>
      </c>
      <c r="V18" s="556">
        <f t="shared" si="2"/>
        <v>1878.0916569482565</v>
      </c>
      <c r="W18" s="556">
        <f t="shared" si="2"/>
        <v>1878.0916569482565</v>
      </c>
      <c r="X18" s="556">
        <f t="shared" si="2"/>
        <v>1878.0916569482565</v>
      </c>
      <c r="Y18" s="556">
        <f t="shared" si="2"/>
        <v>1878.0916569482565</v>
      </c>
      <c r="Z18" s="556">
        <f t="shared" si="2"/>
        <v>1878.0916569482565</v>
      </c>
      <c r="AA18" s="556">
        <f t="shared" si="2"/>
        <v>1878.0916569482565</v>
      </c>
    </row>
    <row r="19" spans="2:27" ht="16.5" thickBot="1" x14ac:dyDescent="0.25">
      <c r="B19" s="545" t="s">
        <v>1572</v>
      </c>
      <c r="C19" s="555">
        <f>C18</f>
        <v>2093.7219830200947</v>
      </c>
      <c r="D19" s="555">
        <f>C19+D18</f>
        <v>2238.6883262437404</v>
      </c>
      <c r="E19" s="555">
        <f t="shared" ref="E19:AA19" si="3">D19+E18</f>
        <v>3370.0278686739875</v>
      </c>
      <c r="F19" s="555">
        <f t="shared" si="3"/>
        <v>4520.6378006900441</v>
      </c>
      <c r="G19" s="555">
        <f t="shared" si="3"/>
        <v>6217.7772685728996</v>
      </c>
      <c r="H19" s="555">
        <f t="shared" si="3"/>
        <v>7936.1481045786013</v>
      </c>
      <c r="I19" s="555">
        <f t="shared" si="3"/>
        <v>9677.130347635135</v>
      </c>
      <c r="J19" s="555">
        <f t="shared" si="3"/>
        <v>11442.193739200804</v>
      </c>
      <c r="K19" s="555">
        <f t="shared" si="3"/>
        <v>13232.903553928702</v>
      </c>
      <c r="L19" s="555">
        <f t="shared" si="3"/>
        <v>15050.926809324374</v>
      </c>
      <c r="M19" s="555">
        <f t="shared" si="3"/>
        <v>16898.038879031224</v>
      </c>
      <c r="N19" s="555">
        <f t="shared" si="3"/>
        <v>18776.130535979482</v>
      </c>
      <c r="O19" s="555">
        <f t="shared" si="3"/>
        <v>20654.22219292774</v>
      </c>
      <c r="P19" s="555">
        <f t="shared" si="3"/>
        <v>22532.313849875998</v>
      </c>
      <c r="Q19" s="555">
        <f t="shared" si="3"/>
        <v>24410.405506824256</v>
      </c>
      <c r="R19" s="555">
        <f t="shared" si="3"/>
        <v>26288.497163772514</v>
      </c>
      <c r="S19" s="555">
        <f t="shared" si="3"/>
        <v>28166.588820720772</v>
      </c>
      <c r="T19" s="555">
        <f t="shared" si="3"/>
        <v>30044.68047766903</v>
      </c>
      <c r="U19" s="555">
        <f t="shared" si="3"/>
        <v>31922.772134617288</v>
      </c>
      <c r="V19" s="555">
        <f t="shared" si="3"/>
        <v>33800.863791565542</v>
      </c>
      <c r="W19" s="555">
        <f t="shared" si="3"/>
        <v>35678.9554485138</v>
      </c>
      <c r="X19" s="555">
        <f t="shared" si="3"/>
        <v>37557.047105462058</v>
      </c>
      <c r="Y19" s="555">
        <f t="shared" si="3"/>
        <v>39435.138762410315</v>
      </c>
      <c r="Z19" s="555">
        <f t="shared" si="3"/>
        <v>41313.230419358573</v>
      </c>
      <c r="AA19" s="555">
        <f t="shared" si="3"/>
        <v>43191.322076306831</v>
      </c>
    </row>
  </sheetData>
  <mergeCells count="2">
    <mergeCell ref="C3:D3"/>
    <mergeCell ref="F3:G3"/>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2:AA11"/>
  <sheetViews>
    <sheetView workbookViewId="0">
      <selection activeCell="E18" sqref="E18"/>
    </sheetView>
  </sheetViews>
  <sheetFormatPr baseColWidth="10" defaultRowHeight="12.75" x14ac:dyDescent="0.2"/>
  <cols>
    <col min="1" max="1" width="11.42578125" style="13"/>
    <col min="2" max="2" width="66.7109375" style="13" customWidth="1"/>
    <col min="3" max="3" width="5.5703125" style="13" bestFit="1" customWidth="1"/>
    <col min="4" max="4" width="5.5703125" style="13" customWidth="1"/>
    <col min="5" max="27" width="6.28515625" style="13" bestFit="1" customWidth="1"/>
    <col min="28" max="16384" width="11.42578125" style="13"/>
  </cols>
  <sheetData>
    <row r="2" spans="2:27" x14ac:dyDescent="0.2">
      <c r="B2" s="356" t="s">
        <v>1481</v>
      </c>
    </row>
    <row r="3" spans="2:27" x14ac:dyDescent="0.2">
      <c r="B3" s="357" t="s">
        <v>1482</v>
      </c>
    </row>
    <row r="4" spans="2:27" x14ac:dyDescent="0.2">
      <c r="B4" s="356" t="s">
        <v>1483</v>
      </c>
    </row>
    <row r="5" spans="2:27" ht="15.75" customHeight="1" x14ac:dyDescent="0.2">
      <c r="B5" s="358" t="s">
        <v>1484</v>
      </c>
      <c r="C5" s="678" t="s">
        <v>1485</v>
      </c>
      <c r="D5" s="678"/>
      <c r="E5" s="679" t="s">
        <v>1486</v>
      </c>
      <c r="F5" s="680"/>
      <c r="G5" s="680"/>
      <c r="H5" s="680"/>
      <c r="I5" s="680"/>
      <c r="J5" s="680"/>
      <c r="K5" s="680"/>
      <c r="L5" s="680"/>
      <c r="M5" s="680"/>
      <c r="N5" s="680"/>
      <c r="O5" s="680"/>
      <c r="P5" s="680"/>
      <c r="Q5" s="680"/>
      <c r="R5" s="680"/>
      <c r="S5" s="680"/>
      <c r="T5" s="680"/>
      <c r="U5" s="680"/>
      <c r="V5" s="680"/>
      <c r="W5" s="680"/>
      <c r="X5" s="680"/>
      <c r="Y5" s="680"/>
      <c r="Z5" s="680"/>
      <c r="AA5" s="680"/>
    </row>
    <row r="6" spans="2:27" x14ac:dyDescent="0.2">
      <c r="B6" s="359" t="s">
        <v>965</v>
      </c>
      <c r="C6" s="1">
        <v>1</v>
      </c>
      <c r="D6" s="1">
        <v>2</v>
      </c>
      <c r="E6" s="1">
        <v>3</v>
      </c>
      <c r="F6" s="1">
        <v>4</v>
      </c>
      <c r="G6" s="1">
        <v>5</v>
      </c>
      <c r="H6" s="1">
        <v>6</v>
      </c>
      <c r="I6" s="1">
        <v>7</v>
      </c>
      <c r="J6" s="1">
        <v>8</v>
      </c>
      <c r="K6" s="1">
        <v>9</v>
      </c>
      <c r="L6" s="1">
        <v>10</v>
      </c>
      <c r="M6" s="1">
        <v>11</v>
      </c>
      <c r="N6" s="1">
        <v>12</v>
      </c>
      <c r="O6" s="1">
        <v>13</v>
      </c>
      <c r="P6" s="1">
        <v>14</v>
      </c>
      <c r="Q6" s="1">
        <v>15</v>
      </c>
      <c r="R6" s="1">
        <v>16</v>
      </c>
      <c r="S6" s="1">
        <v>17</v>
      </c>
      <c r="T6" s="1">
        <v>18</v>
      </c>
      <c r="U6" s="1">
        <v>19</v>
      </c>
      <c r="V6" s="1">
        <v>20</v>
      </c>
      <c r="W6" s="1">
        <v>21</v>
      </c>
      <c r="X6" s="1">
        <v>22</v>
      </c>
      <c r="Y6" s="1">
        <v>23</v>
      </c>
      <c r="Z6" s="1">
        <v>24</v>
      </c>
      <c r="AA6" s="1">
        <v>25</v>
      </c>
    </row>
    <row r="7" spans="2:27" x14ac:dyDescent="0.2">
      <c r="B7" s="331" t="s">
        <v>1487</v>
      </c>
      <c r="C7" s="234">
        <v>60</v>
      </c>
      <c r="D7" s="226"/>
      <c r="E7" s="226"/>
      <c r="F7" s="226"/>
      <c r="G7" s="226"/>
      <c r="H7" s="226"/>
      <c r="I7" s="226"/>
      <c r="J7" s="226"/>
      <c r="K7" s="226"/>
      <c r="L7" s="226"/>
      <c r="M7" s="226"/>
      <c r="N7" s="226"/>
      <c r="O7" s="226"/>
      <c r="P7" s="226"/>
      <c r="Q7" s="226"/>
      <c r="R7" s="226"/>
      <c r="S7" s="226"/>
      <c r="T7" s="226"/>
      <c r="U7" s="226"/>
      <c r="V7" s="226"/>
      <c r="W7" s="226"/>
      <c r="X7" s="226"/>
      <c r="Y7" s="226"/>
      <c r="Z7" s="226"/>
      <c r="AA7" s="226"/>
    </row>
    <row r="8" spans="2:27" ht="25.5" x14ac:dyDescent="0.2">
      <c r="B8" s="354" t="s">
        <v>1488</v>
      </c>
      <c r="C8" s="234">
        <v>110</v>
      </c>
      <c r="D8" s="226"/>
      <c r="E8" s="226"/>
      <c r="F8" s="226"/>
      <c r="G8" s="226"/>
      <c r="H8" s="226"/>
      <c r="I8" s="226"/>
      <c r="J8" s="226"/>
      <c r="K8" s="226"/>
      <c r="L8" s="226"/>
      <c r="M8" s="226"/>
      <c r="N8" s="226"/>
      <c r="O8" s="226"/>
      <c r="P8" s="226"/>
      <c r="Q8" s="226"/>
      <c r="R8" s="226"/>
      <c r="S8" s="226"/>
      <c r="T8" s="226"/>
      <c r="U8" s="226"/>
      <c r="V8" s="226"/>
      <c r="W8" s="226"/>
      <c r="X8" s="226"/>
      <c r="Y8" s="226"/>
      <c r="Z8" s="226"/>
      <c r="AA8" s="226"/>
    </row>
    <row r="9" spans="2:27" x14ac:dyDescent="0.2">
      <c r="B9" s="354" t="s">
        <v>1489</v>
      </c>
      <c r="C9" s="234">
        <v>20</v>
      </c>
      <c r="D9" s="226"/>
      <c r="E9" s="226"/>
      <c r="F9" s="226"/>
      <c r="G9" s="226"/>
      <c r="H9" s="226"/>
      <c r="I9" s="226"/>
      <c r="J9" s="226"/>
      <c r="K9" s="226"/>
      <c r="L9" s="226"/>
      <c r="M9" s="226"/>
      <c r="N9" s="226"/>
      <c r="O9" s="226"/>
      <c r="P9" s="226"/>
      <c r="Q9" s="226"/>
      <c r="R9" s="226"/>
      <c r="S9" s="226"/>
      <c r="T9" s="226"/>
      <c r="U9" s="226"/>
      <c r="V9" s="226"/>
      <c r="W9" s="226"/>
      <c r="X9" s="226"/>
      <c r="Y9" s="226"/>
      <c r="Z9" s="226"/>
      <c r="AA9" s="226"/>
    </row>
    <row r="10" spans="2:27" x14ac:dyDescent="0.2">
      <c r="B10" s="331" t="s">
        <v>1490</v>
      </c>
      <c r="C10" s="234">
        <v>80</v>
      </c>
      <c r="D10" s="360"/>
      <c r="E10" s="226"/>
      <c r="F10" s="226"/>
      <c r="G10" s="226"/>
      <c r="H10" s="226"/>
      <c r="I10" s="226"/>
      <c r="J10" s="226"/>
      <c r="K10" s="226"/>
      <c r="L10" s="226"/>
      <c r="M10" s="226"/>
      <c r="N10" s="226"/>
      <c r="O10" s="226"/>
      <c r="P10" s="226"/>
      <c r="Q10" s="226"/>
      <c r="R10" s="226"/>
      <c r="S10" s="226"/>
      <c r="T10" s="226"/>
      <c r="U10" s="226"/>
      <c r="V10" s="226"/>
      <c r="W10" s="226"/>
      <c r="X10" s="226"/>
      <c r="Y10" s="360"/>
      <c r="Z10" s="360"/>
      <c r="AA10" s="360"/>
    </row>
    <row r="11" spans="2:27" x14ac:dyDescent="0.2">
      <c r="B11" s="361" t="s">
        <v>1491</v>
      </c>
      <c r="C11" s="234">
        <f>SUM(C7:C10)</f>
        <v>270</v>
      </c>
      <c r="D11" s="360"/>
      <c r="E11" s="360"/>
      <c r="F11" s="360"/>
      <c r="G11" s="360"/>
      <c r="H11" s="360"/>
      <c r="I11" s="360"/>
      <c r="J11" s="360"/>
      <c r="K11" s="360"/>
      <c r="L11" s="360"/>
      <c r="M11" s="360"/>
      <c r="N11" s="360"/>
      <c r="O11" s="360"/>
      <c r="P11" s="360"/>
      <c r="Q11" s="360"/>
      <c r="R11" s="360"/>
      <c r="S11" s="360"/>
      <c r="T11" s="360"/>
      <c r="U11" s="360"/>
      <c r="V11" s="360"/>
      <c r="W11" s="360"/>
      <c r="X11" s="360"/>
      <c r="Y11" s="360"/>
      <c r="Z11" s="360"/>
      <c r="AA11" s="360"/>
    </row>
  </sheetData>
  <mergeCells count="2">
    <mergeCell ref="C5:D5"/>
    <mergeCell ref="E5:AA5"/>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Z51"/>
  <sheetViews>
    <sheetView showGridLines="0" topLeftCell="A5" zoomScale="68" zoomScaleNormal="68" workbookViewId="0">
      <selection activeCell="G23" sqref="G23"/>
    </sheetView>
  </sheetViews>
  <sheetFormatPr baseColWidth="10" defaultRowHeight="12.75" outlineLevelCol="1" x14ac:dyDescent="0.2"/>
  <cols>
    <col min="1" max="1" width="6.42578125" style="397" customWidth="1"/>
    <col min="2" max="2" width="9.140625" style="397" customWidth="1"/>
    <col min="3" max="3" width="79.7109375" style="397" customWidth="1"/>
    <col min="4" max="4" width="24.7109375" style="413" customWidth="1"/>
    <col min="5" max="7" width="15.7109375" style="397" customWidth="1" outlineLevel="1"/>
    <col min="8" max="8" width="17.28515625" style="397" customWidth="1" outlineLevel="1"/>
    <col min="9" max="9" width="18.7109375" style="397" customWidth="1" outlineLevel="1"/>
    <col min="10" max="10" width="13.140625" style="397" customWidth="1" outlineLevel="1"/>
    <col min="11" max="12" width="14.5703125" style="397" customWidth="1" outlineLevel="1"/>
    <col min="13" max="13" width="16.28515625" style="397" customWidth="1"/>
    <col min="14" max="14" width="17.5703125" style="397" bestFit="1" customWidth="1"/>
    <col min="15" max="15" width="9.7109375" style="397" hidden="1" customWidth="1"/>
    <col min="16" max="16" width="20.85546875" style="397" customWidth="1"/>
    <col min="17" max="17" width="17.7109375" style="397" hidden="1" customWidth="1" outlineLevel="1"/>
    <col min="18" max="18" width="11.42578125" style="397" hidden="1" customWidth="1" outlineLevel="1"/>
    <col min="19" max="19" width="16.28515625" style="397" hidden="1" customWidth="1" outlineLevel="1"/>
    <col min="20" max="20" width="11.42578125" style="397" hidden="1" customWidth="1" outlineLevel="1"/>
    <col min="21" max="21" width="15.7109375" style="397" hidden="1" customWidth="1" outlineLevel="1"/>
    <col min="22" max="24" width="11.42578125" style="397" hidden="1" customWidth="1" outlineLevel="1"/>
    <col min="25" max="25" width="19.42578125" style="397" hidden="1" customWidth="1" collapsed="1"/>
    <col min="26" max="16384" width="11.42578125" style="397"/>
  </cols>
  <sheetData>
    <row r="1" spans="1:25" x14ac:dyDescent="0.2">
      <c r="A1" s="412"/>
      <c r="B1" s="412"/>
      <c r="C1" s="412"/>
    </row>
    <row r="2" spans="1:25" x14ac:dyDescent="0.2">
      <c r="A2" s="414" t="s">
        <v>1036</v>
      </c>
      <c r="B2" s="412"/>
      <c r="C2" s="412"/>
    </row>
    <row r="3" spans="1:25" x14ac:dyDescent="0.2">
      <c r="A3" s="412"/>
      <c r="B3" s="412"/>
      <c r="C3" s="412"/>
    </row>
    <row r="4" spans="1:25" x14ac:dyDescent="0.2">
      <c r="A4" s="414" t="s">
        <v>1037</v>
      </c>
      <c r="B4" s="412" t="s">
        <v>1021</v>
      </c>
      <c r="C4" s="412"/>
    </row>
    <row r="5" spans="1:25" x14ac:dyDescent="0.2">
      <c r="A5" s="412"/>
      <c r="B5" s="412" t="s">
        <v>1038</v>
      </c>
      <c r="C5" s="412"/>
    </row>
    <row r="6" spans="1:25" x14ac:dyDescent="0.2">
      <c r="A6" s="412"/>
      <c r="B6" s="412"/>
      <c r="C6" s="412"/>
    </row>
    <row r="7" spans="1:25" x14ac:dyDescent="0.2">
      <c r="A7" s="412"/>
      <c r="B7" s="412"/>
      <c r="C7" s="412"/>
    </row>
    <row r="8" spans="1:25" x14ac:dyDescent="0.2">
      <c r="A8" s="681" t="s">
        <v>1022</v>
      </c>
      <c r="B8" s="682"/>
      <c r="C8" s="682"/>
      <c r="D8" s="415"/>
      <c r="E8" s="416"/>
      <c r="F8" s="416"/>
      <c r="G8" s="416"/>
      <c r="H8" s="416"/>
      <c r="I8" s="416"/>
      <c r="J8" s="416"/>
      <c r="K8" s="416"/>
      <c r="L8" s="416"/>
      <c r="M8" s="416"/>
      <c r="N8" s="416"/>
      <c r="O8" s="416"/>
      <c r="P8" s="416"/>
      <c r="Q8" s="416"/>
      <c r="R8" s="416"/>
      <c r="S8" s="416"/>
      <c r="T8" s="416"/>
      <c r="U8" s="416"/>
      <c r="V8" s="416"/>
      <c r="W8" s="416"/>
      <c r="X8" s="416"/>
      <c r="Y8" s="416"/>
    </row>
    <row r="9" spans="1:25" x14ac:dyDescent="0.2">
      <c r="A9" s="688" t="s">
        <v>1039</v>
      </c>
      <c r="B9" s="688"/>
      <c r="C9" s="688"/>
      <c r="D9" s="688"/>
      <c r="E9" s="688" t="s">
        <v>1040</v>
      </c>
      <c r="F9" s="688"/>
      <c r="G9" s="688"/>
      <c r="H9" s="688"/>
      <c r="I9" s="688"/>
      <c r="J9" s="688"/>
      <c r="K9" s="688"/>
      <c r="L9" s="688"/>
      <c r="M9" s="688" t="s">
        <v>1485</v>
      </c>
      <c r="N9" s="688"/>
      <c r="O9" s="688"/>
      <c r="P9" s="688"/>
      <c r="Q9" s="685" t="s">
        <v>1041</v>
      </c>
      <c r="R9" s="685"/>
      <c r="S9" s="685"/>
      <c r="T9" s="685"/>
      <c r="U9" s="685"/>
      <c r="V9" s="685"/>
      <c r="W9" s="685"/>
      <c r="X9" s="685"/>
      <c r="Y9" s="685"/>
    </row>
    <row r="10" spans="1:25" ht="52.5" customHeight="1" x14ac:dyDescent="0.2">
      <c r="A10" s="436" t="s">
        <v>1023</v>
      </c>
      <c r="B10" s="436" t="s">
        <v>1024</v>
      </c>
      <c r="C10" s="436" t="s">
        <v>1025</v>
      </c>
      <c r="D10" s="436" t="s">
        <v>1328</v>
      </c>
      <c r="E10" s="436" t="s">
        <v>1026</v>
      </c>
      <c r="F10" s="436" t="s">
        <v>1027</v>
      </c>
      <c r="G10" s="436" t="s">
        <v>1028</v>
      </c>
      <c r="H10" s="436" t="s">
        <v>1537</v>
      </c>
      <c r="I10" s="436" t="s">
        <v>1538</v>
      </c>
      <c r="J10" s="436" t="s">
        <v>1029</v>
      </c>
      <c r="K10" s="436" t="s">
        <v>1539</v>
      </c>
      <c r="L10" s="436" t="s">
        <v>1030</v>
      </c>
      <c r="M10" s="436" t="s">
        <v>1329</v>
      </c>
      <c r="N10" s="436" t="s">
        <v>963</v>
      </c>
      <c r="O10" s="436" t="s">
        <v>993</v>
      </c>
      <c r="P10" s="436" t="s">
        <v>996</v>
      </c>
      <c r="Q10" s="377" t="s">
        <v>41</v>
      </c>
      <c r="R10" s="377" t="s">
        <v>988</v>
      </c>
      <c r="S10" s="377" t="s">
        <v>42</v>
      </c>
      <c r="T10" s="377" t="s">
        <v>989</v>
      </c>
      <c r="U10" s="377" t="s">
        <v>43</v>
      </c>
      <c r="V10" s="377" t="s">
        <v>990</v>
      </c>
      <c r="W10" s="377" t="s">
        <v>44</v>
      </c>
      <c r="X10" s="377" t="s">
        <v>991</v>
      </c>
      <c r="Y10" s="377" t="s">
        <v>995</v>
      </c>
    </row>
    <row r="11" spans="1:25" x14ac:dyDescent="0.2">
      <c r="A11" s="417">
        <v>1</v>
      </c>
      <c r="B11" s="378"/>
      <c r="C11" s="379" t="s">
        <v>1540</v>
      </c>
      <c r="D11" s="380"/>
      <c r="E11" s="381"/>
      <c r="F11" s="381"/>
      <c r="G11" s="381"/>
      <c r="H11" s="381"/>
      <c r="I11" s="381"/>
      <c r="J11" s="381"/>
      <c r="K11" s="381"/>
      <c r="L11" s="381"/>
      <c r="M11" s="381">
        <f>SUM(E11:H11)</f>
        <v>0</v>
      </c>
      <c r="N11" s="381">
        <f>D11*M11</f>
        <v>0</v>
      </c>
      <c r="O11" s="382">
        <v>1</v>
      </c>
      <c r="P11" s="381">
        <f>N11*O11</f>
        <v>0</v>
      </c>
      <c r="Q11" s="383">
        <f>P11*R11</f>
        <v>0</v>
      </c>
      <c r="R11" s="384"/>
      <c r="S11" s="383">
        <f>P11*T11</f>
        <v>0</v>
      </c>
      <c r="T11" s="384"/>
      <c r="U11" s="383">
        <f>P11*V11</f>
        <v>0</v>
      </c>
      <c r="V11" s="384"/>
      <c r="W11" s="383">
        <f>N11*X11</f>
        <v>0</v>
      </c>
      <c r="X11" s="384"/>
      <c r="Y11" s="385" t="str">
        <f>IF(Q11+S11+U11+W11=P11,"OK","REVISAR")</f>
        <v>OK</v>
      </c>
    </row>
    <row r="12" spans="1:25" x14ac:dyDescent="0.2">
      <c r="A12" s="386">
        <v>2</v>
      </c>
      <c r="B12" s="378" t="s">
        <v>435</v>
      </c>
      <c r="C12" s="379" t="s">
        <v>436</v>
      </c>
      <c r="D12" s="380">
        <v>6</v>
      </c>
      <c r="E12" s="381">
        <v>191173846.30255651</v>
      </c>
      <c r="F12" s="381">
        <v>0</v>
      </c>
      <c r="G12" s="381">
        <v>4339963.9686360499</v>
      </c>
      <c r="H12" s="381">
        <v>14885222.723821685</v>
      </c>
      <c r="I12" s="381">
        <v>12514823.363265177</v>
      </c>
      <c r="J12" s="381">
        <v>6637518.9827045836</v>
      </c>
      <c r="K12" s="381">
        <v>1251482.3363265179</v>
      </c>
      <c r="L12" s="381">
        <v>4890712.55418221</v>
      </c>
      <c r="M12" s="381">
        <f>SUM(E12:H12)</f>
        <v>210399032.99501425</v>
      </c>
      <c r="N12" s="381">
        <f>D12*M12</f>
        <v>1262394197.9700856</v>
      </c>
      <c r="O12" s="382">
        <v>1</v>
      </c>
      <c r="P12" s="381">
        <f>N12*O12</f>
        <v>1262394197.9700856</v>
      </c>
      <c r="Q12" s="383">
        <f>P12*R12</f>
        <v>631197098.98504281</v>
      </c>
      <c r="R12" s="384">
        <v>0.5</v>
      </c>
      <c r="S12" s="383">
        <f>P12*T12</f>
        <v>631197098.98504281</v>
      </c>
      <c r="T12" s="384">
        <v>0.5</v>
      </c>
      <c r="U12" s="383">
        <f>P12*V12</f>
        <v>0</v>
      </c>
      <c r="V12" s="384"/>
      <c r="W12" s="383">
        <f>N12*X12</f>
        <v>0</v>
      </c>
      <c r="X12" s="384"/>
      <c r="Y12" s="385" t="str">
        <f>IF(Q12+S12+U12+W12=P12,"OK","REVISAR")</f>
        <v>OK</v>
      </c>
    </row>
    <row r="13" spans="1:25" x14ac:dyDescent="0.2">
      <c r="A13" s="386">
        <v>3</v>
      </c>
      <c r="B13" s="378" t="s">
        <v>465</v>
      </c>
      <c r="C13" s="379" t="s">
        <v>466</v>
      </c>
      <c r="D13" s="380">
        <v>1</v>
      </c>
      <c r="E13" s="381">
        <v>17174839.15533153</v>
      </c>
      <c r="F13" s="381">
        <v>30879096.729292005</v>
      </c>
      <c r="G13" s="381">
        <v>4294563.2157949414</v>
      </c>
      <c r="H13" s="381">
        <v>1325768.8079083154</v>
      </c>
      <c r="I13" s="381">
        <v>1146097.9486406986</v>
      </c>
      <c r="J13" s="381">
        <v>625254.73478843109</v>
      </c>
      <c r="K13" s="381">
        <v>114609.79486406986</v>
      </c>
      <c r="L13" s="381">
        <v>1177321.2818924778</v>
      </c>
      <c r="M13" s="381">
        <f t="shared" ref="M13:M37" si="0">SUM(E13:H13)</f>
        <v>53674267.908326797</v>
      </c>
      <c r="N13" s="381">
        <f t="shared" ref="N13:N37" si="1">D13*M13</f>
        <v>53674267.908326797</v>
      </c>
      <c r="O13" s="382">
        <v>1</v>
      </c>
      <c r="P13" s="381">
        <f t="shared" ref="P13:P37" si="2">N13*O13</f>
        <v>53674267.908326797</v>
      </c>
      <c r="Q13" s="383">
        <f t="shared" ref="Q13:Q37" si="3">P13*R13</f>
        <v>26837133.954163399</v>
      </c>
      <c r="R13" s="384">
        <v>0.5</v>
      </c>
      <c r="S13" s="383">
        <f t="shared" ref="S13:S37" si="4">P13*T13</f>
        <v>26837133.954163399</v>
      </c>
      <c r="T13" s="384">
        <v>0.5</v>
      </c>
      <c r="U13" s="383">
        <f t="shared" ref="U13:U37" si="5">P13*V13</f>
        <v>0</v>
      </c>
      <c r="V13" s="384"/>
      <c r="W13" s="383">
        <f t="shared" ref="W13:W37" si="6">N13*X13</f>
        <v>0</v>
      </c>
      <c r="X13" s="384"/>
      <c r="Y13" s="385" t="str">
        <f t="shared" ref="Y13:Y37" si="7">IF(Q13+S13+U13+W13=P13,"OK","REVISAR")</f>
        <v>OK</v>
      </c>
    </row>
    <row r="14" spans="1:25" x14ac:dyDescent="0.2">
      <c r="A14" s="386">
        <v>4</v>
      </c>
      <c r="B14" s="387" t="s">
        <v>485</v>
      </c>
      <c r="C14" s="388" t="s">
        <v>486</v>
      </c>
      <c r="D14" s="380">
        <v>1</v>
      </c>
      <c r="E14" s="381">
        <v>433754713.77898067</v>
      </c>
      <c r="F14" s="381">
        <v>0</v>
      </c>
      <c r="G14" s="381">
        <v>783643.5879031244</v>
      </c>
      <c r="H14" s="381">
        <v>14885222.723821685</v>
      </c>
      <c r="I14" s="381">
        <v>12514823.363265177</v>
      </c>
      <c r="J14" s="381">
        <v>6637518.9827045836</v>
      </c>
      <c r="K14" s="381">
        <v>1251482.3363265179</v>
      </c>
      <c r="L14" s="381">
        <v>9955642.7071399074</v>
      </c>
      <c r="M14" s="381">
        <f t="shared" si="0"/>
        <v>449423580.09070551</v>
      </c>
      <c r="N14" s="381">
        <f t="shared" si="1"/>
        <v>449423580.09070551</v>
      </c>
      <c r="O14" s="382">
        <v>1</v>
      </c>
      <c r="P14" s="381">
        <f t="shared" si="2"/>
        <v>449423580.09070551</v>
      </c>
      <c r="Q14" s="383">
        <f t="shared" si="3"/>
        <v>224711790.04535276</v>
      </c>
      <c r="R14" s="384">
        <v>0.5</v>
      </c>
      <c r="S14" s="383">
        <f t="shared" si="4"/>
        <v>224711790.04535276</v>
      </c>
      <c r="T14" s="384">
        <v>0.5</v>
      </c>
      <c r="U14" s="383">
        <f t="shared" si="5"/>
        <v>0</v>
      </c>
      <c r="V14" s="384"/>
      <c r="W14" s="383">
        <f t="shared" si="6"/>
        <v>0</v>
      </c>
      <c r="X14" s="384"/>
      <c r="Y14" s="385" t="str">
        <f t="shared" si="7"/>
        <v>OK</v>
      </c>
    </row>
    <row r="15" spans="1:25" x14ac:dyDescent="0.2">
      <c r="A15" s="417">
        <v>5</v>
      </c>
      <c r="B15" s="378"/>
      <c r="C15" s="389" t="s">
        <v>1330</v>
      </c>
      <c r="D15" s="380"/>
      <c r="E15" s="381"/>
      <c r="F15" s="381"/>
      <c r="G15" s="381"/>
      <c r="H15" s="381"/>
      <c r="I15" s="381"/>
      <c r="J15" s="381"/>
      <c r="K15" s="381"/>
      <c r="L15" s="381"/>
      <c r="M15" s="381">
        <f t="shared" si="0"/>
        <v>0</v>
      </c>
      <c r="N15" s="381">
        <f t="shared" si="1"/>
        <v>0</v>
      </c>
      <c r="O15" s="382">
        <v>1</v>
      </c>
      <c r="P15" s="381">
        <f t="shared" si="2"/>
        <v>0</v>
      </c>
      <c r="Q15" s="383">
        <f t="shared" si="3"/>
        <v>0</v>
      </c>
      <c r="R15" s="384">
        <v>0.5</v>
      </c>
      <c r="S15" s="383">
        <f t="shared" si="4"/>
        <v>0</v>
      </c>
      <c r="T15" s="384">
        <v>0.5</v>
      </c>
      <c r="U15" s="383">
        <f t="shared" si="5"/>
        <v>0</v>
      </c>
      <c r="V15" s="384"/>
      <c r="W15" s="383">
        <f t="shared" si="6"/>
        <v>0</v>
      </c>
      <c r="X15" s="384"/>
      <c r="Y15" s="385" t="str">
        <f t="shared" si="7"/>
        <v>OK</v>
      </c>
    </row>
    <row r="16" spans="1:25" x14ac:dyDescent="0.2">
      <c r="A16" s="386">
        <v>6</v>
      </c>
      <c r="B16" s="378" t="s">
        <v>200</v>
      </c>
      <c r="C16" s="379" t="s">
        <v>1324</v>
      </c>
      <c r="D16" s="380">
        <v>1</v>
      </c>
      <c r="E16" s="381">
        <v>30557784.683264192</v>
      </c>
      <c r="F16" s="381">
        <v>11326847.271240564</v>
      </c>
      <c r="G16" s="381"/>
      <c r="H16" s="381">
        <v>2663878.8401984326</v>
      </c>
      <c r="I16" s="381">
        <v>2332550.104157968</v>
      </c>
      <c r="J16" s="381">
        <v>1090584.4231101086</v>
      </c>
      <c r="K16" s="381">
        <v>233255.0104157968</v>
      </c>
      <c r="L16" s="381">
        <v>446859.42608122807</v>
      </c>
      <c r="M16" s="381">
        <f>SUM(E16:H16)</f>
        <v>44548510.794703193</v>
      </c>
      <c r="N16" s="381">
        <f>D16*M16</f>
        <v>44548510.794703193</v>
      </c>
      <c r="O16" s="382">
        <v>1</v>
      </c>
      <c r="P16" s="381">
        <f>N16*O16</f>
        <v>44548510.794703193</v>
      </c>
      <c r="Q16" s="383">
        <f>P16*R16</f>
        <v>22274255.397351597</v>
      </c>
      <c r="R16" s="384">
        <v>0.5</v>
      </c>
      <c r="S16" s="383">
        <f>P16*T16</f>
        <v>22274255.397351597</v>
      </c>
      <c r="T16" s="384">
        <v>0.5</v>
      </c>
      <c r="U16" s="383">
        <f>P16*V16</f>
        <v>0</v>
      </c>
      <c r="V16" s="384"/>
      <c r="W16" s="383">
        <f>N16*X16</f>
        <v>0</v>
      </c>
      <c r="X16" s="384"/>
      <c r="Y16" s="385" t="str">
        <f>IF(Q16+S16+U16+W16=P16,"OK","REVISAR")</f>
        <v>OK</v>
      </c>
    </row>
    <row r="17" spans="1:26" x14ac:dyDescent="0.2">
      <c r="A17" s="386">
        <v>7</v>
      </c>
      <c r="B17" s="378" t="s">
        <v>200</v>
      </c>
      <c r="C17" s="379" t="s">
        <v>1324</v>
      </c>
      <c r="D17" s="380">
        <v>1</v>
      </c>
      <c r="E17" s="381">
        <v>30557784.683264192</v>
      </c>
      <c r="F17" s="381">
        <v>11326847.271240564</v>
      </c>
      <c r="G17" s="381"/>
      <c r="H17" s="381">
        <v>2663878.8401984326</v>
      </c>
      <c r="I17" s="381">
        <v>2332550.104157968</v>
      </c>
      <c r="J17" s="381">
        <v>1090584.4231101086</v>
      </c>
      <c r="K17" s="381">
        <v>233255.0104157968</v>
      </c>
      <c r="L17" s="381">
        <v>446859.42608122807</v>
      </c>
      <c r="M17" s="381">
        <f t="shared" si="0"/>
        <v>44548510.794703193</v>
      </c>
      <c r="N17" s="381">
        <f t="shared" si="1"/>
        <v>44548510.794703193</v>
      </c>
      <c r="O17" s="382">
        <v>1</v>
      </c>
      <c r="P17" s="381">
        <f t="shared" si="2"/>
        <v>44548510.794703193</v>
      </c>
      <c r="Q17" s="383">
        <f t="shared" si="3"/>
        <v>22274255.397351597</v>
      </c>
      <c r="R17" s="384">
        <v>0.5</v>
      </c>
      <c r="S17" s="383">
        <f t="shared" si="4"/>
        <v>22274255.397351597</v>
      </c>
      <c r="T17" s="384">
        <v>0.5</v>
      </c>
      <c r="U17" s="383">
        <f t="shared" si="5"/>
        <v>0</v>
      </c>
      <c r="V17" s="384"/>
      <c r="W17" s="383">
        <f t="shared" si="6"/>
        <v>0</v>
      </c>
      <c r="X17" s="384"/>
      <c r="Y17" s="385" t="str">
        <f t="shared" si="7"/>
        <v>OK</v>
      </c>
    </row>
    <row r="18" spans="1:26" x14ac:dyDescent="0.2">
      <c r="A18" s="386">
        <v>8</v>
      </c>
      <c r="B18" s="378" t="s">
        <v>200</v>
      </c>
      <c r="C18" s="379" t="s">
        <v>1324</v>
      </c>
      <c r="D18" s="380">
        <v>1</v>
      </c>
      <c r="E18" s="381">
        <v>30557784.683264192</v>
      </c>
      <c r="F18" s="381">
        <v>11326847.271240564</v>
      </c>
      <c r="G18" s="381"/>
      <c r="H18" s="381">
        <v>2663878.8401984326</v>
      </c>
      <c r="I18" s="381">
        <v>2332550.104157968</v>
      </c>
      <c r="J18" s="381">
        <v>1090584.4231101086</v>
      </c>
      <c r="K18" s="381">
        <v>233255.0104157968</v>
      </c>
      <c r="L18" s="381">
        <v>446859.42608122807</v>
      </c>
      <c r="M18" s="381">
        <f t="shared" si="0"/>
        <v>44548510.794703193</v>
      </c>
      <c r="N18" s="381">
        <f t="shared" si="1"/>
        <v>44548510.794703193</v>
      </c>
      <c r="O18" s="382">
        <v>1</v>
      </c>
      <c r="P18" s="381">
        <f t="shared" si="2"/>
        <v>44548510.794703193</v>
      </c>
      <c r="Q18" s="383">
        <f t="shared" si="3"/>
        <v>22274255.397351597</v>
      </c>
      <c r="R18" s="384">
        <v>0.5</v>
      </c>
      <c r="S18" s="383">
        <f t="shared" si="4"/>
        <v>22274255.397351597</v>
      </c>
      <c r="T18" s="384">
        <v>0.5</v>
      </c>
      <c r="U18" s="383">
        <f t="shared" si="5"/>
        <v>0</v>
      </c>
      <c r="V18" s="384"/>
      <c r="W18" s="383">
        <f t="shared" si="6"/>
        <v>0</v>
      </c>
      <c r="X18" s="384"/>
      <c r="Y18" s="385" t="str">
        <f t="shared" si="7"/>
        <v>OK</v>
      </c>
    </row>
    <row r="19" spans="1:26" x14ac:dyDescent="0.2">
      <c r="A19" s="386">
        <v>9</v>
      </c>
      <c r="B19" s="378" t="s">
        <v>200</v>
      </c>
      <c r="C19" s="379" t="s">
        <v>1324</v>
      </c>
      <c r="D19" s="380">
        <v>1</v>
      </c>
      <c r="E19" s="381">
        <v>30557784.683264192</v>
      </c>
      <c r="F19" s="381">
        <v>11326847.271240564</v>
      </c>
      <c r="G19" s="381"/>
      <c r="H19" s="381">
        <v>2663878.8401984326</v>
      </c>
      <c r="I19" s="381">
        <v>2332550.104157968</v>
      </c>
      <c r="J19" s="381">
        <v>1090584.4231101086</v>
      </c>
      <c r="K19" s="381">
        <v>233255.0104157968</v>
      </c>
      <c r="L19" s="381">
        <v>446859.42608122807</v>
      </c>
      <c r="M19" s="381">
        <f t="shared" si="0"/>
        <v>44548510.794703193</v>
      </c>
      <c r="N19" s="381">
        <f t="shared" si="1"/>
        <v>44548510.794703193</v>
      </c>
      <c r="O19" s="382">
        <v>1</v>
      </c>
      <c r="P19" s="381">
        <f t="shared" si="2"/>
        <v>44548510.794703193</v>
      </c>
      <c r="Q19" s="383">
        <f t="shared" si="3"/>
        <v>22274255.397351597</v>
      </c>
      <c r="R19" s="384">
        <v>0.5</v>
      </c>
      <c r="S19" s="383">
        <f t="shared" si="4"/>
        <v>22274255.397351597</v>
      </c>
      <c r="T19" s="384">
        <v>0.5</v>
      </c>
      <c r="U19" s="383">
        <f t="shared" si="5"/>
        <v>0</v>
      </c>
      <c r="V19" s="384"/>
      <c r="W19" s="383">
        <f t="shared" si="6"/>
        <v>0</v>
      </c>
      <c r="X19" s="384"/>
      <c r="Y19" s="385" t="str">
        <f t="shared" si="7"/>
        <v>OK</v>
      </c>
    </row>
    <row r="20" spans="1:26" x14ac:dyDescent="0.2">
      <c r="A20" s="386">
        <v>10</v>
      </c>
      <c r="B20" s="378" t="s">
        <v>200</v>
      </c>
      <c r="C20" s="379" t="s">
        <v>1324</v>
      </c>
      <c r="D20" s="380">
        <v>18</v>
      </c>
      <c r="E20" s="381">
        <v>30557784.683264192</v>
      </c>
      <c r="F20" s="381">
        <v>11326847.271240564</v>
      </c>
      <c r="G20" s="381"/>
      <c r="H20" s="381">
        <v>2663878.8401984326</v>
      </c>
      <c r="I20" s="381">
        <v>2332550.104157968</v>
      </c>
      <c r="J20" s="381">
        <v>1090584.4231101086</v>
      </c>
      <c r="K20" s="381">
        <v>233255.0104157968</v>
      </c>
      <c r="L20" s="381">
        <v>446859.42608122807</v>
      </c>
      <c r="M20" s="381">
        <f t="shared" si="0"/>
        <v>44548510.794703193</v>
      </c>
      <c r="N20" s="381">
        <f t="shared" si="1"/>
        <v>801873194.30465746</v>
      </c>
      <c r="O20" s="382">
        <v>1</v>
      </c>
      <c r="P20" s="381">
        <f t="shared" si="2"/>
        <v>801873194.30465746</v>
      </c>
      <c r="Q20" s="383">
        <f t="shared" si="3"/>
        <v>400936597.15232873</v>
      </c>
      <c r="R20" s="384">
        <v>0.5</v>
      </c>
      <c r="S20" s="383">
        <f t="shared" si="4"/>
        <v>400936597.15232873</v>
      </c>
      <c r="T20" s="384">
        <v>0.5</v>
      </c>
      <c r="U20" s="383">
        <f t="shared" si="5"/>
        <v>0</v>
      </c>
      <c r="V20" s="384"/>
      <c r="W20" s="383">
        <f t="shared" si="6"/>
        <v>0</v>
      </c>
      <c r="X20" s="384"/>
      <c r="Y20" s="385" t="str">
        <f t="shared" si="7"/>
        <v>OK</v>
      </c>
    </row>
    <row r="21" spans="1:26" x14ac:dyDescent="0.2">
      <c r="A21" s="386">
        <v>11</v>
      </c>
      <c r="B21" s="378" t="s">
        <v>200</v>
      </c>
      <c r="C21" s="379" t="s">
        <v>1324</v>
      </c>
      <c r="D21" s="380">
        <v>0.5</v>
      </c>
      <c r="E21" s="381">
        <v>30557784.683264192</v>
      </c>
      <c r="F21" s="381">
        <v>11326847.271240564</v>
      </c>
      <c r="G21" s="381"/>
      <c r="H21" s="381">
        <v>2663878.8401984326</v>
      </c>
      <c r="I21" s="381">
        <v>2332550.104157968</v>
      </c>
      <c r="J21" s="381">
        <v>1090584.4231101086</v>
      </c>
      <c r="K21" s="381">
        <v>233255.0104157968</v>
      </c>
      <c r="L21" s="381">
        <v>446859.42608122807</v>
      </c>
      <c r="M21" s="381">
        <f t="shared" si="0"/>
        <v>44548510.794703193</v>
      </c>
      <c r="N21" s="381">
        <f t="shared" si="1"/>
        <v>22274255.397351597</v>
      </c>
      <c r="O21" s="382">
        <v>1</v>
      </c>
      <c r="P21" s="381">
        <f t="shared" si="2"/>
        <v>22274255.397351597</v>
      </c>
      <c r="Q21" s="383">
        <f t="shared" si="3"/>
        <v>11137127.698675798</v>
      </c>
      <c r="R21" s="384">
        <v>0.5</v>
      </c>
      <c r="S21" s="383">
        <f t="shared" si="4"/>
        <v>11137127.698675798</v>
      </c>
      <c r="T21" s="384">
        <v>0.5</v>
      </c>
      <c r="U21" s="383">
        <f t="shared" si="5"/>
        <v>0</v>
      </c>
      <c r="V21" s="384"/>
      <c r="W21" s="383">
        <f t="shared" si="6"/>
        <v>0</v>
      </c>
      <c r="X21" s="384"/>
      <c r="Y21" s="385" t="str">
        <f t="shared" si="7"/>
        <v>OK</v>
      </c>
    </row>
    <row r="22" spans="1:26" x14ac:dyDescent="0.2">
      <c r="A22" s="386">
        <v>12</v>
      </c>
      <c r="B22" s="378" t="s">
        <v>200</v>
      </c>
      <c r="C22" s="379" t="s">
        <v>1324</v>
      </c>
      <c r="D22" s="380">
        <v>30</v>
      </c>
      <c r="E22" s="381">
        <v>30557784.683264192</v>
      </c>
      <c r="F22" s="381">
        <v>11326847.271240564</v>
      </c>
      <c r="G22" s="381"/>
      <c r="H22" s="381">
        <v>2663878.8401984326</v>
      </c>
      <c r="I22" s="381">
        <v>2332550.104157968</v>
      </c>
      <c r="J22" s="381">
        <v>1090584.4231101086</v>
      </c>
      <c r="K22" s="381">
        <v>233255.0104157968</v>
      </c>
      <c r="L22" s="381">
        <v>446859.42608122807</v>
      </c>
      <c r="M22" s="381">
        <f t="shared" si="0"/>
        <v>44548510.794703193</v>
      </c>
      <c r="N22" s="381">
        <f t="shared" si="1"/>
        <v>1336455323.8410957</v>
      </c>
      <c r="O22" s="382">
        <v>1</v>
      </c>
      <c r="P22" s="381">
        <f t="shared" si="2"/>
        <v>1336455323.8410957</v>
      </c>
      <c r="Q22" s="383">
        <f t="shared" si="3"/>
        <v>668227661.92054784</v>
      </c>
      <c r="R22" s="384">
        <v>0.5</v>
      </c>
      <c r="S22" s="383">
        <f t="shared" si="4"/>
        <v>668227661.92054784</v>
      </c>
      <c r="T22" s="384">
        <v>0.5</v>
      </c>
      <c r="U22" s="383">
        <f t="shared" si="5"/>
        <v>0</v>
      </c>
      <c r="V22" s="384"/>
      <c r="W22" s="383">
        <f t="shared" si="6"/>
        <v>0</v>
      </c>
      <c r="X22" s="384"/>
      <c r="Y22" s="385" t="str">
        <f t="shared" si="7"/>
        <v>OK</v>
      </c>
    </row>
    <row r="23" spans="1:26" x14ac:dyDescent="0.2">
      <c r="A23" s="386">
        <v>13</v>
      </c>
      <c r="B23" s="378" t="s">
        <v>200</v>
      </c>
      <c r="C23" s="379" t="s">
        <v>1324</v>
      </c>
      <c r="D23" s="380">
        <v>7</v>
      </c>
      <c r="E23" s="381">
        <v>30557784.683264192</v>
      </c>
      <c r="F23" s="381">
        <v>11326847.271240564</v>
      </c>
      <c r="G23" s="381"/>
      <c r="H23" s="381">
        <v>2663878.8401984326</v>
      </c>
      <c r="I23" s="381">
        <v>2332550.104157968</v>
      </c>
      <c r="J23" s="381">
        <v>1090584.4231101086</v>
      </c>
      <c r="K23" s="381">
        <v>233255.0104157968</v>
      </c>
      <c r="L23" s="381">
        <v>446859.42608122807</v>
      </c>
      <c r="M23" s="381">
        <f>SUM(E23:H23)</f>
        <v>44548510.794703193</v>
      </c>
      <c r="N23" s="381">
        <f>D23*M23</f>
        <v>311839575.56292236</v>
      </c>
      <c r="O23" s="382">
        <v>1</v>
      </c>
      <c r="P23" s="381">
        <f>N23*O23</f>
        <v>311839575.56292236</v>
      </c>
      <c r="Q23" s="383">
        <f>P23*R23</f>
        <v>155919787.78146118</v>
      </c>
      <c r="R23" s="384">
        <v>0.5</v>
      </c>
      <c r="S23" s="383">
        <f>P23*T23</f>
        <v>155919787.78146118</v>
      </c>
      <c r="T23" s="384">
        <v>0.5</v>
      </c>
      <c r="U23" s="383">
        <f>P23*V23</f>
        <v>0</v>
      </c>
      <c r="V23" s="384"/>
      <c r="W23" s="383">
        <f>N23*X23</f>
        <v>0</v>
      </c>
      <c r="X23" s="384"/>
      <c r="Y23" s="385" t="str">
        <f>IF(Q23+S23+U23+W23=P23,"OK","REVISAR")</f>
        <v>OK</v>
      </c>
    </row>
    <row r="24" spans="1:26" x14ac:dyDescent="0.2">
      <c r="A24" s="417">
        <v>14</v>
      </c>
      <c r="B24" s="378"/>
      <c r="C24" s="389" t="s">
        <v>1541</v>
      </c>
      <c r="D24" s="380"/>
      <c r="E24" s="381"/>
      <c r="F24" s="381"/>
      <c r="G24" s="381"/>
      <c r="H24" s="381"/>
      <c r="I24" s="381"/>
      <c r="J24" s="381"/>
      <c r="K24" s="381"/>
      <c r="L24" s="381"/>
      <c r="M24" s="381">
        <f>SUM(E24:H24)</f>
        <v>0</v>
      </c>
      <c r="N24" s="381">
        <f>D24*M24</f>
        <v>0</v>
      </c>
      <c r="O24" s="382">
        <v>1</v>
      </c>
      <c r="P24" s="381">
        <f>N24*O24</f>
        <v>0</v>
      </c>
      <c r="Q24" s="383">
        <f>P24*R24</f>
        <v>0</v>
      </c>
      <c r="R24" s="384">
        <v>0.5</v>
      </c>
      <c r="S24" s="383">
        <f>P24*T24</f>
        <v>0</v>
      </c>
      <c r="T24" s="384">
        <v>0.5</v>
      </c>
      <c r="U24" s="383">
        <f>P24*V24</f>
        <v>0</v>
      </c>
      <c r="V24" s="384"/>
      <c r="W24" s="383">
        <f>N24*X24</f>
        <v>0</v>
      </c>
      <c r="X24" s="384"/>
      <c r="Y24" s="385" t="str">
        <f>IF(Q24+S24+U24+W24=P24,"OK","REVISAR")</f>
        <v>OK</v>
      </c>
      <c r="Z24" s="418"/>
    </row>
    <row r="25" spans="1:26" x14ac:dyDescent="0.2">
      <c r="A25" s="386">
        <v>15</v>
      </c>
      <c r="B25" s="378" t="s">
        <v>200</v>
      </c>
      <c r="C25" s="379" t="s">
        <v>1324</v>
      </c>
      <c r="D25" s="380">
        <v>8</v>
      </c>
      <c r="E25" s="381">
        <v>30557784.683264192</v>
      </c>
      <c r="F25" s="381">
        <v>11326847.271240564</v>
      </c>
      <c r="G25" s="381"/>
      <c r="H25" s="381">
        <v>2663878.8401984326</v>
      </c>
      <c r="I25" s="381">
        <v>2332550.104157968</v>
      </c>
      <c r="J25" s="381">
        <v>1090584.4231101086</v>
      </c>
      <c r="K25" s="381">
        <v>233255.0104157968</v>
      </c>
      <c r="L25" s="381">
        <v>446859.42608122807</v>
      </c>
      <c r="M25" s="381">
        <f t="shared" si="0"/>
        <v>44548510.794703193</v>
      </c>
      <c r="N25" s="381">
        <f t="shared" si="1"/>
        <v>356388086.35762554</v>
      </c>
      <c r="O25" s="382">
        <v>1</v>
      </c>
      <c r="P25" s="381">
        <f t="shared" si="2"/>
        <v>356388086.35762554</v>
      </c>
      <c r="Q25" s="383">
        <f t="shared" si="3"/>
        <v>178194043.17881277</v>
      </c>
      <c r="R25" s="384">
        <v>0.5</v>
      </c>
      <c r="S25" s="383">
        <f t="shared" si="4"/>
        <v>178194043.17881277</v>
      </c>
      <c r="T25" s="384">
        <v>0.5</v>
      </c>
      <c r="U25" s="383">
        <f t="shared" si="5"/>
        <v>0</v>
      </c>
      <c r="V25" s="384"/>
      <c r="W25" s="383">
        <f t="shared" si="6"/>
        <v>0</v>
      </c>
      <c r="X25" s="384"/>
      <c r="Y25" s="385" t="str">
        <f t="shared" si="7"/>
        <v>OK</v>
      </c>
    </row>
    <row r="26" spans="1:26" x14ac:dyDescent="0.2">
      <c r="A26" s="386">
        <v>16</v>
      </c>
      <c r="B26" s="378" t="s">
        <v>200</v>
      </c>
      <c r="C26" s="379" t="s">
        <v>1324</v>
      </c>
      <c r="D26" s="380">
        <v>28</v>
      </c>
      <c r="E26" s="381">
        <v>30557784.683264192</v>
      </c>
      <c r="F26" s="381">
        <v>11326847.271240564</v>
      </c>
      <c r="G26" s="381"/>
      <c r="H26" s="381">
        <v>2663878.8401984326</v>
      </c>
      <c r="I26" s="381">
        <v>2332550.104157968</v>
      </c>
      <c r="J26" s="381">
        <v>1090584.4231101086</v>
      </c>
      <c r="K26" s="381">
        <v>233255.0104157968</v>
      </c>
      <c r="L26" s="381">
        <v>446859.42608122807</v>
      </c>
      <c r="M26" s="381">
        <f t="shared" si="0"/>
        <v>44548510.794703193</v>
      </c>
      <c r="N26" s="381">
        <f t="shared" si="1"/>
        <v>1247358302.2516894</v>
      </c>
      <c r="O26" s="382">
        <v>1</v>
      </c>
      <c r="P26" s="381">
        <f t="shared" si="2"/>
        <v>1247358302.2516894</v>
      </c>
      <c r="Q26" s="383">
        <f t="shared" si="3"/>
        <v>623679151.12584472</v>
      </c>
      <c r="R26" s="384">
        <v>0.5</v>
      </c>
      <c r="S26" s="383">
        <f t="shared" si="4"/>
        <v>623679151.12584472</v>
      </c>
      <c r="T26" s="384">
        <v>0.5</v>
      </c>
      <c r="U26" s="383">
        <f t="shared" si="5"/>
        <v>0</v>
      </c>
      <c r="V26" s="384"/>
      <c r="W26" s="383">
        <f t="shared" si="6"/>
        <v>0</v>
      </c>
      <c r="X26" s="384"/>
      <c r="Y26" s="385" t="str">
        <f t="shared" si="7"/>
        <v>OK</v>
      </c>
    </row>
    <row r="27" spans="1:26" x14ac:dyDescent="0.2">
      <c r="A27" s="386">
        <v>17</v>
      </c>
      <c r="B27" s="378" t="s">
        <v>200</v>
      </c>
      <c r="C27" s="379" t="s">
        <v>1324</v>
      </c>
      <c r="D27" s="380">
        <v>16</v>
      </c>
      <c r="E27" s="381">
        <v>30557784.683264192</v>
      </c>
      <c r="F27" s="381">
        <v>11326847.271240564</v>
      </c>
      <c r="G27" s="381"/>
      <c r="H27" s="381">
        <v>2663878.8401984326</v>
      </c>
      <c r="I27" s="381">
        <v>2332550.104157968</v>
      </c>
      <c r="J27" s="381">
        <v>1090584.4231101086</v>
      </c>
      <c r="K27" s="381">
        <v>233255.0104157968</v>
      </c>
      <c r="L27" s="381">
        <v>446859.42608122807</v>
      </c>
      <c r="M27" s="381">
        <f t="shared" si="0"/>
        <v>44548510.794703193</v>
      </c>
      <c r="N27" s="381">
        <f t="shared" si="1"/>
        <v>712776172.71525109</v>
      </c>
      <c r="O27" s="382">
        <v>1</v>
      </c>
      <c r="P27" s="381">
        <f t="shared" si="2"/>
        <v>712776172.71525109</v>
      </c>
      <c r="Q27" s="383">
        <f t="shared" si="3"/>
        <v>356388086.35762554</v>
      </c>
      <c r="R27" s="384">
        <v>0.5</v>
      </c>
      <c r="S27" s="383">
        <f t="shared" si="4"/>
        <v>356388086.35762554</v>
      </c>
      <c r="T27" s="384">
        <v>0.5</v>
      </c>
      <c r="U27" s="383">
        <f t="shared" si="5"/>
        <v>0</v>
      </c>
      <c r="V27" s="384"/>
      <c r="W27" s="383">
        <f t="shared" si="6"/>
        <v>0</v>
      </c>
      <c r="X27" s="384"/>
      <c r="Y27" s="385" t="str">
        <f t="shared" si="7"/>
        <v>OK</v>
      </c>
    </row>
    <row r="28" spans="1:26" x14ac:dyDescent="0.2">
      <c r="A28" s="417">
        <v>18</v>
      </c>
      <c r="B28" s="378"/>
      <c r="C28" s="389" t="s">
        <v>1332</v>
      </c>
      <c r="D28" s="380"/>
      <c r="E28" s="381"/>
      <c r="F28" s="381"/>
      <c r="G28" s="381"/>
      <c r="H28" s="381"/>
      <c r="I28" s="381"/>
      <c r="J28" s="381"/>
      <c r="K28" s="381"/>
      <c r="L28" s="381"/>
      <c r="M28" s="381">
        <f>SUM(E28:H28)</f>
        <v>0</v>
      </c>
      <c r="N28" s="381">
        <f>D28*M28</f>
        <v>0</v>
      </c>
      <c r="O28" s="382">
        <v>1</v>
      </c>
      <c r="P28" s="381">
        <f>N28*O28</f>
        <v>0</v>
      </c>
      <c r="Q28" s="383">
        <f>P28*R28</f>
        <v>0</v>
      </c>
      <c r="R28" s="384">
        <v>0.5</v>
      </c>
      <c r="S28" s="383">
        <f>P28*T28</f>
        <v>0</v>
      </c>
      <c r="T28" s="384">
        <v>0.5</v>
      </c>
      <c r="U28" s="383">
        <f>P28*V28</f>
        <v>0</v>
      </c>
      <c r="V28" s="384"/>
      <c r="W28" s="383">
        <f>N28*X28</f>
        <v>0</v>
      </c>
      <c r="X28" s="384"/>
      <c r="Y28" s="385" t="str">
        <f>IF(Q28+S28+U28+W28=P28,"OK","REVISAR")</f>
        <v>OK</v>
      </c>
      <c r="Z28" s="418"/>
    </row>
    <row r="29" spans="1:26" x14ac:dyDescent="0.2">
      <c r="A29" s="386">
        <v>19</v>
      </c>
      <c r="B29" s="378" t="s">
        <v>707</v>
      </c>
      <c r="C29" s="379" t="s">
        <v>708</v>
      </c>
      <c r="D29" s="380">
        <v>10</v>
      </c>
      <c r="E29" s="381">
        <v>65614006.494230777</v>
      </c>
      <c r="F29" s="381">
        <v>2923569.0994011401</v>
      </c>
      <c r="G29" s="381">
        <v>2600128.2412859472</v>
      </c>
      <c r="H29" s="381">
        <v>532120.54932477139</v>
      </c>
      <c r="I29" s="381">
        <v>481319.56096513232</v>
      </c>
      <c r="J29" s="381">
        <v>250210.82080893294</v>
      </c>
      <c r="K29" s="381">
        <v>48131.956096513233</v>
      </c>
      <c r="L29" s="381">
        <v>1031680.6909228922</v>
      </c>
      <c r="M29" s="381">
        <f>SUM(E29:H29)</f>
        <v>71669824.384242639</v>
      </c>
      <c r="N29" s="381">
        <f>D29*M29</f>
        <v>716698243.84242642</v>
      </c>
      <c r="O29" s="382">
        <v>1</v>
      </c>
      <c r="P29" s="381">
        <f>N29*O29</f>
        <v>716698243.84242642</v>
      </c>
      <c r="Q29" s="383">
        <f>P29*R29</f>
        <v>358349121.92121321</v>
      </c>
      <c r="R29" s="384">
        <v>0.5</v>
      </c>
      <c r="S29" s="383">
        <f>P29*T29</f>
        <v>358349121.92121321</v>
      </c>
      <c r="T29" s="384">
        <v>0.5</v>
      </c>
      <c r="U29" s="383">
        <f>P29*V29</f>
        <v>0</v>
      </c>
      <c r="V29" s="384"/>
      <c r="W29" s="383">
        <f>N29*X29</f>
        <v>0</v>
      </c>
      <c r="X29" s="384"/>
      <c r="Y29" s="385" t="str">
        <f>IF(Q29+S29+U29+W29=P29,"OK","REVISAR")</f>
        <v>OK</v>
      </c>
    </row>
    <row r="30" spans="1:26" x14ac:dyDescent="0.2">
      <c r="A30" s="417">
        <v>20</v>
      </c>
      <c r="B30" s="378"/>
      <c r="C30" s="389" t="s">
        <v>1542</v>
      </c>
      <c r="D30" s="380"/>
      <c r="E30" s="381"/>
      <c r="F30" s="381"/>
      <c r="G30" s="381"/>
      <c r="H30" s="381"/>
      <c r="I30" s="381"/>
      <c r="J30" s="381"/>
      <c r="K30" s="381"/>
      <c r="L30" s="381"/>
      <c r="M30" s="381">
        <f>SUM(E30:H30)</f>
        <v>0</v>
      </c>
      <c r="N30" s="381">
        <f>D30*M30</f>
        <v>0</v>
      </c>
      <c r="O30" s="382">
        <v>1</v>
      </c>
      <c r="P30" s="381">
        <f>N30*O30</f>
        <v>0</v>
      </c>
      <c r="Q30" s="383">
        <f>P30*R30</f>
        <v>0</v>
      </c>
      <c r="R30" s="384">
        <v>0.5</v>
      </c>
      <c r="S30" s="383">
        <f>P30*T30</f>
        <v>0</v>
      </c>
      <c r="T30" s="384">
        <v>0.5</v>
      </c>
      <c r="U30" s="383">
        <f>P30*V30</f>
        <v>0</v>
      </c>
      <c r="V30" s="384"/>
      <c r="W30" s="383">
        <f>N30*X30</f>
        <v>0</v>
      </c>
      <c r="X30" s="384"/>
      <c r="Y30" s="385" t="str">
        <f>IF(Q30+S30+U30+W30=P30,"OK","REVISAR")</f>
        <v>OK</v>
      </c>
      <c r="Z30" s="418"/>
    </row>
    <row r="31" spans="1:26" x14ac:dyDescent="0.2">
      <c r="A31" s="386">
        <v>21</v>
      </c>
      <c r="B31" s="378" t="s">
        <v>435</v>
      </c>
      <c r="C31" s="379" t="s">
        <v>436</v>
      </c>
      <c r="D31" s="380">
        <v>2</v>
      </c>
      <c r="E31" s="381">
        <v>191173846.30255651</v>
      </c>
      <c r="F31" s="381">
        <v>0</v>
      </c>
      <c r="G31" s="381">
        <v>4339963.9686360499</v>
      </c>
      <c r="H31" s="381">
        <v>14885222.723821685</v>
      </c>
      <c r="I31" s="381">
        <v>12514823.363265177</v>
      </c>
      <c r="J31" s="381">
        <v>6637518.9827045836</v>
      </c>
      <c r="K31" s="381">
        <v>1251482.3363265179</v>
      </c>
      <c r="L31" s="381">
        <v>4890712.55418221</v>
      </c>
      <c r="M31" s="381">
        <f t="shared" si="0"/>
        <v>210399032.99501425</v>
      </c>
      <c r="N31" s="381">
        <f t="shared" si="1"/>
        <v>420798065.9900285</v>
      </c>
      <c r="O31" s="382">
        <v>1</v>
      </c>
      <c r="P31" s="381">
        <f t="shared" si="2"/>
        <v>420798065.9900285</v>
      </c>
      <c r="Q31" s="383">
        <f t="shared" si="3"/>
        <v>210399032.99501425</v>
      </c>
      <c r="R31" s="384">
        <v>0.5</v>
      </c>
      <c r="S31" s="383">
        <f t="shared" si="4"/>
        <v>210399032.99501425</v>
      </c>
      <c r="T31" s="384">
        <v>0.5</v>
      </c>
      <c r="U31" s="383">
        <f t="shared" si="5"/>
        <v>0</v>
      </c>
      <c r="V31" s="384"/>
      <c r="W31" s="383">
        <f t="shared" si="6"/>
        <v>0</v>
      </c>
      <c r="X31" s="384"/>
      <c r="Y31" s="385" t="str">
        <f t="shared" si="7"/>
        <v>OK</v>
      </c>
    </row>
    <row r="32" spans="1:26" x14ac:dyDescent="0.2">
      <c r="A32" s="386">
        <v>22</v>
      </c>
      <c r="B32" s="390" t="s">
        <v>748</v>
      </c>
      <c r="C32" s="379" t="s">
        <v>1543</v>
      </c>
      <c r="D32" s="380">
        <v>3</v>
      </c>
      <c r="E32" s="381">
        <v>11736325.207546694</v>
      </c>
      <c r="F32" s="381">
        <v>1429466.3540185969</v>
      </c>
      <c r="G32" s="381">
        <v>0</v>
      </c>
      <c r="H32" s="381">
        <v>201216.9630002754</v>
      </c>
      <c r="I32" s="381">
        <v>170731.72053840299</v>
      </c>
      <c r="J32" s="381">
        <v>84480.755939449387</v>
      </c>
      <c r="K32" s="381">
        <v>17073.172053840299</v>
      </c>
      <c r="L32" s="381">
        <v>194223.54902490496</v>
      </c>
      <c r="M32" s="381">
        <f>SUM(E32:H32)</f>
        <v>13367008.524565566</v>
      </c>
      <c r="N32" s="381">
        <f>D32*M32</f>
        <v>40101025.573696703</v>
      </c>
      <c r="O32" s="382">
        <v>1</v>
      </c>
      <c r="P32" s="381">
        <f>N32*O32</f>
        <v>40101025.573696703</v>
      </c>
      <c r="Q32" s="383">
        <f>P32*R32</f>
        <v>20050512.786848351</v>
      </c>
      <c r="R32" s="384">
        <v>0.5</v>
      </c>
      <c r="S32" s="383">
        <f>P32*T32</f>
        <v>20050512.786848351</v>
      </c>
      <c r="T32" s="384">
        <v>0.5</v>
      </c>
      <c r="U32" s="383">
        <f>P32*V32</f>
        <v>0</v>
      </c>
      <c r="V32" s="384"/>
      <c r="W32" s="383">
        <f>N32*X32</f>
        <v>0</v>
      </c>
      <c r="X32" s="384"/>
      <c r="Y32" s="385" t="str">
        <f>IF(Q32+S32+U32+W32=P32,"OK","REVISAR")</f>
        <v>OK</v>
      </c>
    </row>
    <row r="33" spans="1:25" x14ac:dyDescent="0.2">
      <c r="A33" s="386">
        <v>23</v>
      </c>
      <c r="B33" s="378" t="s">
        <v>761</v>
      </c>
      <c r="C33" s="379" t="s">
        <v>762</v>
      </c>
      <c r="D33" s="380">
        <v>3</v>
      </c>
      <c r="E33" s="381">
        <v>264791.88512989925</v>
      </c>
      <c r="F33" s="381">
        <v>137500</v>
      </c>
      <c r="G33" s="381">
        <v>0</v>
      </c>
      <c r="H33" s="381">
        <v>13750.000000000002</v>
      </c>
      <c r="I33" s="381">
        <v>12375.000000000002</v>
      </c>
      <c r="J33" s="381">
        <v>6875.0000000000009</v>
      </c>
      <c r="K33" s="381">
        <v>1237.5000000000002</v>
      </c>
      <c r="L33" s="381">
        <v>6216.1784442497647</v>
      </c>
      <c r="M33" s="381">
        <f>SUM(E33:H33)</f>
        <v>416041.88512989925</v>
      </c>
      <c r="N33" s="381">
        <f>D33*M33</f>
        <v>1248125.6553896978</v>
      </c>
      <c r="O33" s="382">
        <v>1</v>
      </c>
      <c r="P33" s="381">
        <f>N33*O33</f>
        <v>1248125.6553896978</v>
      </c>
      <c r="Q33" s="383">
        <f>P33*R33</f>
        <v>624062.82769484888</v>
      </c>
      <c r="R33" s="384">
        <v>0.5</v>
      </c>
      <c r="S33" s="383">
        <f>P33*T33</f>
        <v>624062.82769484888</v>
      </c>
      <c r="T33" s="384">
        <v>0.5</v>
      </c>
      <c r="U33" s="383">
        <f>P33*V33</f>
        <v>0</v>
      </c>
      <c r="V33" s="384"/>
      <c r="W33" s="383">
        <f>N33*X33</f>
        <v>0</v>
      </c>
      <c r="X33" s="384"/>
      <c r="Y33" s="385" t="str">
        <f>IF(Q33+S33+U33+W33=P33,"OK","REVISAR")</f>
        <v>OK</v>
      </c>
    </row>
    <row r="34" spans="1:25" x14ac:dyDescent="0.2">
      <c r="A34" s="386">
        <v>24</v>
      </c>
      <c r="B34" s="390" t="s">
        <v>748</v>
      </c>
      <c r="C34" s="379" t="s">
        <v>1543</v>
      </c>
      <c r="D34" s="380">
        <v>4</v>
      </c>
      <c r="E34" s="381">
        <v>11736325.207546694</v>
      </c>
      <c r="F34" s="381">
        <v>1429466.3540185969</v>
      </c>
      <c r="G34" s="381">
        <v>0</v>
      </c>
      <c r="H34" s="381">
        <v>201216.9630002754</v>
      </c>
      <c r="I34" s="381">
        <v>170731.72053840299</v>
      </c>
      <c r="J34" s="381">
        <v>84480.755939449387</v>
      </c>
      <c r="K34" s="381">
        <v>17073.172053840299</v>
      </c>
      <c r="L34" s="381">
        <v>194223.54902490496</v>
      </c>
      <c r="M34" s="381">
        <f>SUM(E34:H34)</f>
        <v>13367008.524565566</v>
      </c>
      <c r="N34" s="381">
        <f>D34*M34</f>
        <v>53468034.098262265</v>
      </c>
      <c r="O34" s="382">
        <v>1</v>
      </c>
      <c r="P34" s="381">
        <f>N34*O34</f>
        <v>53468034.098262265</v>
      </c>
      <c r="Q34" s="383">
        <f>P34*R34</f>
        <v>26734017.049131133</v>
      </c>
      <c r="R34" s="384">
        <v>0.5</v>
      </c>
      <c r="S34" s="383">
        <f>P34*T34</f>
        <v>26734017.049131133</v>
      </c>
      <c r="T34" s="384">
        <v>0.5</v>
      </c>
      <c r="U34" s="383">
        <f>P34*V34</f>
        <v>0</v>
      </c>
      <c r="V34" s="384"/>
      <c r="W34" s="383">
        <f>N34*X34</f>
        <v>0</v>
      </c>
      <c r="X34" s="384"/>
      <c r="Y34" s="385" t="str">
        <f>IF(Q34+S34+U34+W34=P34,"OK","REVISAR")</f>
        <v>OK</v>
      </c>
    </row>
    <row r="35" spans="1:25" x14ac:dyDescent="0.2">
      <c r="A35" s="386">
        <v>25</v>
      </c>
      <c r="B35" s="378" t="s">
        <v>761</v>
      </c>
      <c r="C35" s="379" t="s">
        <v>762</v>
      </c>
      <c r="D35" s="380">
        <v>4</v>
      </c>
      <c r="E35" s="381">
        <v>264791.88512989925</v>
      </c>
      <c r="F35" s="381">
        <v>137500</v>
      </c>
      <c r="G35" s="381">
        <v>0</v>
      </c>
      <c r="H35" s="381">
        <v>13750.000000000002</v>
      </c>
      <c r="I35" s="381">
        <v>12375.000000000002</v>
      </c>
      <c r="J35" s="381">
        <v>6875.0000000000009</v>
      </c>
      <c r="K35" s="381">
        <v>1237.5000000000002</v>
      </c>
      <c r="L35" s="381">
        <v>6216.1784442497647</v>
      </c>
      <c r="M35" s="381">
        <f>SUM(E35:H35)</f>
        <v>416041.88512989925</v>
      </c>
      <c r="N35" s="381">
        <f>D35*M35</f>
        <v>1664167.540519597</v>
      </c>
      <c r="O35" s="382">
        <v>1</v>
      </c>
      <c r="P35" s="381">
        <f>N35*O35</f>
        <v>1664167.540519597</v>
      </c>
      <c r="Q35" s="383">
        <f>P35*R35</f>
        <v>832083.7702597985</v>
      </c>
      <c r="R35" s="384">
        <v>0.5</v>
      </c>
      <c r="S35" s="383">
        <f>P35*T35</f>
        <v>832083.7702597985</v>
      </c>
      <c r="T35" s="384">
        <v>0.5</v>
      </c>
      <c r="U35" s="383">
        <f>P35*V35</f>
        <v>0</v>
      </c>
      <c r="V35" s="384"/>
      <c r="W35" s="383">
        <f>N35*X35</f>
        <v>0</v>
      </c>
      <c r="X35" s="384"/>
      <c r="Y35" s="385" t="str">
        <f>IF(Q35+S35+U35+W35=P35,"OK","REVISAR")</f>
        <v>OK</v>
      </c>
    </row>
    <row r="36" spans="1:25" x14ac:dyDescent="0.2">
      <c r="A36" s="386">
        <v>26</v>
      </c>
      <c r="B36" s="378" t="s">
        <v>876</v>
      </c>
      <c r="C36" s="379" t="s">
        <v>877</v>
      </c>
      <c r="D36" s="380">
        <v>60</v>
      </c>
      <c r="E36" s="381">
        <v>32949403.355898894</v>
      </c>
      <c r="F36" s="381">
        <v>38468760.981612921</v>
      </c>
      <c r="G36" s="381">
        <v>109726305.32295722</v>
      </c>
      <c r="H36" s="381">
        <v>33900276.711005762</v>
      </c>
      <c r="I36" s="381">
        <v>29467778.460105304</v>
      </c>
      <c r="J36" s="381">
        <v>15861804.773302449</v>
      </c>
      <c r="K36" s="381">
        <v>2946777.8460105304</v>
      </c>
      <c r="L36" s="381">
        <v>43282458.550905295</v>
      </c>
      <c r="M36" s="381">
        <f>SUM(E36:H36)</f>
        <v>215044746.3714748</v>
      </c>
      <c r="N36" s="381">
        <f>D36*E36+SUM(F36:H36)</f>
        <v>2159059544.3695097</v>
      </c>
      <c r="O36" s="382">
        <v>1</v>
      </c>
      <c r="P36" s="381">
        <f>N36*O36</f>
        <v>2159059544.3695097</v>
      </c>
      <c r="Q36" s="383">
        <f>P36*R36</f>
        <v>1079529772.1847548</v>
      </c>
      <c r="R36" s="384">
        <v>0.5</v>
      </c>
      <c r="S36" s="383">
        <f>P36*T36</f>
        <v>1079529772.1847548</v>
      </c>
      <c r="T36" s="384">
        <v>0.5</v>
      </c>
      <c r="U36" s="383">
        <f>P36*V36</f>
        <v>0</v>
      </c>
      <c r="V36" s="384"/>
      <c r="W36" s="383">
        <f>N36*X36</f>
        <v>0</v>
      </c>
      <c r="X36" s="384"/>
      <c r="Y36" s="385" t="str">
        <f>IF(Q36+S36+U36+W36=P36,"OK","REVISAR")</f>
        <v>OK</v>
      </c>
    </row>
    <row r="37" spans="1:25" x14ac:dyDescent="0.2">
      <c r="A37" s="386">
        <v>27</v>
      </c>
      <c r="B37" s="378" t="s">
        <v>420</v>
      </c>
      <c r="C37" s="379" t="s">
        <v>421</v>
      </c>
      <c r="D37" s="380">
        <v>1</v>
      </c>
      <c r="E37" s="381">
        <v>237585765.17156219</v>
      </c>
      <c r="F37" s="381">
        <v>30040237.538860079</v>
      </c>
      <c r="G37" s="381">
        <v>20737573.886462279</v>
      </c>
      <c r="H37" s="381">
        <v>14885222.723821685</v>
      </c>
      <c r="I37" s="381">
        <v>12514823.363265177</v>
      </c>
      <c r="J37" s="381">
        <v>6637518.9827045836</v>
      </c>
      <c r="K37" s="381">
        <v>1251482.3363265179</v>
      </c>
      <c r="L37" s="381">
        <v>6858199.1026236238</v>
      </c>
      <c r="M37" s="381">
        <f t="shared" si="0"/>
        <v>303248799.32070625</v>
      </c>
      <c r="N37" s="381">
        <f t="shared" si="1"/>
        <v>303248799.32070625</v>
      </c>
      <c r="O37" s="382">
        <v>1</v>
      </c>
      <c r="P37" s="381">
        <f t="shared" si="2"/>
        <v>303248799.32070625</v>
      </c>
      <c r="Q37" s="383">
        <f t="shared" si="3"/>
        <v>151624399.66035312</v>
      </c>
      <c r="R37" s="384">
        <v>0.5</v>
      </c>
      <c r="S37" s="383">
        <f t="shared" si="4"/>
        <v>151624399.66035312</v>
      </c>
      <c r="T37" s="384">
        <v>0.5</v>
      </c>
      <c r="U37" s="383">
        <f t="shared" si="5"/>
        <v>0</v>
      </c>
      <c r="V37" s="384"/>
      <c r="W37" s="383">
        <f t="shared" si="6"/>
        <v>0</v>
      </c>
      <c r="X37" s="384"/>
      <c r="Y37" s="385" t="str">
        <f t="shared" si="7"/>
        <v>OK</v>
      </c>
    </row>
    <row r="38" spans="1:25" x14ac:dyDescent="0.2">
      <c r="A38" s="391"/>
      <c r="B38" s="392"/>
      <c r="C38" s="393"/>
      <c r="G38" s="394"/>
      <c r="H38" s="394"/>
      <c r="I38" s="394"/>
      <c r="J38" s="395"/>
      <c r="K38" s="395"/>
      <c r="L38" s="396" t="s">
        <v>1467</v>
      </c>
      <c r="M38" s="419"/>
      <c r="N38" s="420"/>
      <c r="O38" s="420"/>
      <c r="Y38" s="398"/>
    </row>
    <row r="39" spans="1:25" s="421" customFormat="1" ht="15" customHeight="1" x14ac:dyDescent="0.2">
      <c r="A39" s="399" t="s">
        <v>980</v>
      </c>
      <c r="B39" s="400"/>
      <c r="C39" s="400"/>
      <c r="D39" s="401"/>
      <c r="E39" s="402"/>
      <c r="F39" s="402"/>
      <c r="G39" s="402"/>
      <c r="H39" s="402"/>
      <c r="I39" s="402"/>
      <c r="J39" s="402"/>
      <c r="K39" s="402"/>
      <c r="L39" s="402"/>
      <c r="M39" s="402"/>
      <c r="N39" s="402"/>
      <c r="O39" s="403"/>
      <c r="P39" s="383">
        <f>SUM(P11:P37)</f>
        <v>10428937005.969063</v>
      </c>
      <c r="Q39" s="383">
        <f>SUM(Q11:Q37)</f>
        <v>5214468502.9845314</v>
      </c>
      <c r="R39" s="383"/>
      <c r="S39" s="383">
        <f>SUM(S11:S37)</f>
        <v>5214468502.9845314</v>
      </c>
      <c r="T39" s="383"/>
      <c r="U39" s="383">
        <f>SUM(U11:U37)</f>
        <v>0</v>
      </c>
      <c r="V39" s="383"/>
      <c r="W39" s="383">
        <f>SUM(W11:W37)</f>
        <v>0</v>
      </c>
      <c r="X39" s="383"/>
      <c r="Y39" s="385" t="str">
        <f>IF(Q39+S39+U39+W39=P39,"OK","REVISAR")</f>
        <v>OK</v>
      </c>
    </row>
    <row r="40" spans="1:25" s="421" customFormat="1" ht="15" customHeight="1" x14ac:dyDescent="0.2">
      <c r="A40" s="399"/>
      <c r="B40" s="400"/>
      <c r="C40" s="400"/>
      <c r="D40" s="404"/>
      <c r="E40" s="399"/>
      <c r="F40" s="399"/>
      <c r="G40" s="395"/>
      <c r="H40" s="395"/>
      <c r="I40" s="395"/>
      <c r="J40" s="395"/>
      <c r="K40" s="395"/>
      <c r="L40" s="405"/>
      <c r="M40" s="399"/>
      <c r="N40" s="422"/>
      <c r="O40" s="423"/>
      <c r="P40" s="406"/>
      <c r="Q40" s="407"/>
      <c r="R40" s="407"/>
      <c r="S40" s="407"/>
      <c r="T40" s="407"/>
      <c r="U40" s="407"/>
      <c r="V40" s="407"/>
      <c r="W40" s="407"/>
      <c r="X40" s="407"/>
      <c r="Y40" s="408"/>
    </row>
    <row r="41" spans="1:25" s="421" customFormat="1" ht="15" customHeight="1" x14ac:dyDescent="0.2">
      <c r="A41" s="399" t="s">
        <v>1472</v>
      </c>
      <c r="B41" s="400"/>
      <c r="C41" s="400"/>
      <c r="D41" s="401"/>
      <c r="E41" s="402"/>
      <c r="F41" s="402"/>
      <c r="G41" s="402"/>
      <c r="H41" s="402"/>
      <c r="I41" s="402"/>
      <c r="J41" s="402"/>
      <c r="K41" s="402"/>
      <c r="L41" s="402"/>
      <c r="M41" s="402"/>
      <c r="N41" s="402"/>
      <c r="O41" s="409"/>
      <c r="P41" s="383">
        <f>P39*Evaluación!$B$58/Evaluación!$B$57</f>
        <v>12071492009.871567</v>
      </c>
      <c r="Q41" s="383">
        <f>Q39*Evaluación!$B$58/Evaluación!$B$57</f>
        <v>6035746004.9357834</v>
      </c>
      <c r="R41" s="383"/>
      <c r="S41" s="383">
        <f>S39*Evaluación!$B$58/Evaluación!$B$57</f>
        <v>6035746004.9357834</v>
      </c>
      <c r="T41" s="383"/>
      <c r="U41" s="383">
        <f>U39*Evaluación!$B$58/Evaluación!$B$57</f>
        <v>0</v>
      </c>
      <c r="V41" s="383"/>
      <c r="W41" s="383">
        <f>W39*Evaluación!$B$58/Evaluación!$B$57</f>
        <v>0</v>
      </c>
      <c r="X41" s="383"/>
      <c r="Y41" s="410" t="str">
        <f>IF(Q41+S41+U41+W41=P41,"OK","REVISAR")</f>
        <v>OK</v>
      </c>
    </row>
    <row r="42" spans="1:25" ht="15" customHeight="1" x14ac:dyDescent="0.2">
      <c r="A42" s="424"/>
      <c r="B42" s="424"/>
      <c r="C42" s="424"/>
      <c r="D42" s="404"/>
      <c r="E42" s="424"/>
      <c r="F42" s="424"/>
      <c r="G42" s="424"/>
      <c r="H42" s="424"/>
      <c r="I42" s="424"/>
      <c r="J42" s="424"/>
      <c r="K42" s="424"/>
      <c r="L42" s="424"/>
      <c r="M42" s="424"/>
      <c r="N42" s="425"/>
      <c r="O42" s="426"/>
    </row>
    <row r="43" spans="1:25" ht="15" customHeight="1" x14ac:dyDescent="0.2">
      <c r="N43" s="427"/>
      <c r="O43" s="420"/>
    </row>
    <row r="44" spans="1:25" x14ac:dyDescent="0.2">
      <c r="A44" s="689" t="s">
        <v>1326</v>
      </c>
      <c r="B44" s="690"/>
      <c r="C44" s="690"/>
      <c r="D44" s="691"/>
    </row>
    <row r="45" spans="1:25" x14ac:dyDescent="0.2">
      <c r="A45" s="428" t="s">
        <v>1023</v>
      </c>
      <c r="B45" s="692" t="s">
        <v>1031</v>
      </c>
      <c r="C45" s="693"/>
      <c r="D45" s="428" t="s">
        <v>963</v>
      </c>
      <c r="N45" s="427"/>
    </row>
    <row r="46" spans="1:25" x14ac:dyDescent="0.2">
      <c r="A46" s="429">
        <v>1</v>
      </c>
      <c r="B46" s="430" t="s">
        <v>1544</v>
      </c>
      <c r="C46" s="431"/>
      <c r="D46" s="432">
        <f>26417880.9611486*Evaluación!$B$58/Evaluación!$B$57</f>
        <v>30578690.690884162</v>
      </c>
    </row>
    <row r="47" spans="1:25" x14ac:dyDescent="0.2">
      <c r="A47" s="433">
        <v>2</v>
      </c>
      <c r="B47" s="430" t="s">
        <v>1545</v>
      </c>
      <c r="C47" s="431"/>
      <c r="D47" s="432">
        <f>26417880.9611486*Evaluación!$B$58/Evaluación!$B$57*2</f>
        <v>61157381.381768323</v>
      </c>
      <c r="N47" s="434"/>
    </row>
    <row r="49" spans="1:4" ht="14.25" customHeight="1" x14ac:dyDescent="0.2">
      <c r="A49" s="686" t="s">
        <v>1327</v>
      </c>
      <c r="B49" s="686"/>
      <c r="C49" s="687"/>
      <c r="D49" s="411">
        <f>SUM(D46:D47)</f>
        <v>91736072.072652489</v>
      </c>
    </row>
    <row r="51" spans="1:4" x14ac:dyDescent="0.2">
      <c r="A51" s="683" t="s">
        <v>1546</v>
      </c>
      <c r="B51" s="683"/>
      <c r="C51" s="684"/>
      <c r="D51" s="435">
        <f>D49+P41</f>
        <v>12163228081.94422</v>
      </c>
    </row>
  </sheetData>
  <mergeCells count="9">
    <mergeCell ref="A8:C8"/>
    <mergeCell ref="A51:C51"/>
    <mergeCell ref="Q9:Y9"/>
    <mergeCell ref="A49:C49"/>
    <mergeCell ref="A9:D9"/>
    <mergeCell ref="E9:L9"/>
    <mergeCell ref="M9:P9"/>
    <mergeCell ref="A44:D44"/>
    <mergeCell ref="B45:C45"/>
  </mergeCells>
  <pageMargins left="0.7" right="0.7" top="0.75" bottom="0.75" header="0.3" footer="0.3"/>
  <pageSetup paperSize="8" orientation="portrait" horizontalDpi="300" verticalDpi="300" r:id="rId1"/>
  <ignoredErrors>
    <ignoredError sqref="M12:M37"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1</vt:i4>
      </vt:variant>
    </vt:vector>
  </HeadingPairs>
  <TitlesOfParts>
    <vt:vector size="23" baseType="lpstr">
      <vt:lpstr>Anexo 1 (2)</vt:lpstr>
      <vt:lpstr>Anexo 1</vt:lpstr>
      <vt:lpstr>Evaluación (2)</vt:lpstr>
      <vt:lpstr>Tablas</vt:lpstr>
      <vt:lpstr>FICHA</vt:lpstr>
      <vt:lpstr>Evaluación</vt:lpstr>
      <vt:lpstr>FLUJO DE CAJA</vt:lpstr>
      <vt:lpstr>Preinversion</vt:lpstr>
      <vt:lpstr>Inversion</vt:lpstr>
      <vt:lpstr>Financiacion</vt:lpstr>
      <vt:lpstr>Cronograma</vt:lpstr>
      <vt:lpstr>Beneficios Peaje</vt:lpstr>
      <vt:lpstr>Beneficios Perdidas</vt:lpstr>
      <vt:lpstr>Beneficios Calidad de Servicio</vt:lpstr>
      <vt:lpstr>Beneficios Crecimiento Demanda</vt:lpstr>
      <vt:lpstr>Costo UC</vt:lpstr>
      <vt:lpstr>Datos &gt;</vt:lpstr>
      <vt:lpstr>Demandas 34,5kV</vt:lpstr>
      <vt:lpstr>Demandas 13,2kV</vt:lpstr>
      <vt:lpstr>Indicadores 34,5kV</vt:lpstr>
      <vt:lpstr>Indicadores 13,2kV</vt:lpstr>
      <vt:lpstr>Hoja1</vt:lpstr>
      <vt:lpstr>FICHA!Área_de_impresión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dsa</dc:creator>
  <cp:lastModifiedBy>Fabio Nelson Marín Martinez</cp:lastModifiedBy>
  <cp:lastPrinted>2011-10-04T22:13:18Z</cp:lastPrinted>
  <dcterms:created xsi:type="dcterms:W3CDTF">2010-10-19T14:45:20Z</dcterms:created>
  <dcterms:modified xsi:type="dcterms:W3CDTF">2013-05-03T02:15:14Z</dcterms:modified>
</cp:coreProperties>
</file>