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9320" windowHeight="8160"/>
  </bookViews>
  <sheets>
    <sheet name="PROYECCION Y UNIDADES" sheetId="2" r:id="rId1"/>
    <sheet name="NOMINA" sheetId="3" r:id="rId2"/>
    <sheet name="COSTOS" sheetId="4" r:id="rId3"/>
    <sheet name="GASTOS OPERATIVOS" sheetId="5" r:id="rId4"/>
    <sheet name="INGRESOS" sheetId="6" r:id="rId5"/>
    <sheet name="CAPITAL DE TRABAJO" sheetId="10" r:id="rId6"/>
    <sheet name="INVERSION" sheetId="7" r:id="rId7"/>
    <sheet name="CREDITO Y TASAS" sheetId="8" r:id="rId8"/>
    <sheet name="FLUJO DE CAJA" sheetId="9" r:id="rId9"/>
    <sheet name="BALANCE CON Y SIN" sheetId="11" r:id="rId10"/>
    <sheet name="ER, CON Y SIN" sheetId="12" r:id="rId11"/>
    <sheet name="VPN,TIR,TIO,ZA,DF" sheetId="13" r:id="rId12"/>
    <sheet name="ANALISIS DE SENSIBILIDAD" sheetId="14" r:id="rId13"/>
  </sheets>
  <externalReferences>
    <externalReference r:id="rId14"/>
  </externalReferences>
  <calcPr calcId="144525"/>
</workbook>
</file>

<file path=xl/calcChain.xml><?xml version="1.0" encoding="utf-8"?>
<calcChain xmlns="http://schemas.openxmlformats.org/spreadsheetml/2006/main">
  <c r="P4" i="9" l="1"/>
  <c r="Q4" i="9"/>
  <c r="N6" i="9"/>
  <c r="O6" i="9"/>
  <c r="P6" i="9"/>
  <c r="Q6" i="9"/>
  <c r="N9" i="9"/>
  <c r="O9" i="9" s="1"/>
  <c r="N10" i="9"/>
  <c r="O10" i="9"/>
  <c r="P10" i="9"/>
  <c r="Q10" i="9"/>
  <c r="N11" i="9"/>
  <c r="N14" i="9"/>
  <c r="N15" i="9"/>
  <c r="N16" i="9"/>
  <c r="N17" i="9"/>
  <c r="O17" i="9" s="1"/>
  <c r="P17" i="9"/>
  <c r="N19" i="9"/>
  <c r="O19" i="9"/>
  <c r="P19" i="9"/>
  <c r="Q19" i="9"/>
  <c r="N20" i="9"/>
  <c r="O20" i="9"/>
  <c r="P20" i="9"/>
  <c r="Q20" i="9"/>
  <c r="N21" i="9"/>
  <c r="M22" i="9"/>
  <c r="M23" i="9"/>
  <c r="P25" i="9"/>
  <c r="M26" i="9"/>
  <c r="N26" i="9"/>
  <c r="O26" i="9"/>
  <c r="P26" i="9"/>
  <c r="Q26" i="9"/>
  <c r="M27" i="9"/>
  <c r="N27" i="9"/>
  <c r="F53" i="3"/>
  <c r="G53" i="3" s="1"/>
  <c r="F54" i="3"/>
  <c r="G54" i="3" s="1"/>
  <c r="F55" i="3"/>
  <c r="G55" i="3" s="1"/>
  <c r="F56" i="3"/>
  <c r="G56" i="3" s="1"/>
  <c r="F57" i="3"/>
  <c r="G57" i="3" s="1"/>
  <c r="F58" i="3"/>
  <c r="G58" i="3" s="1"/>
  <c r="F59" i="3"/>
  <c r="G59" i="3" s="1"/>
  <c r="F60" i="3"/>
  <c r="G60" i="3" s="1"/>
  <c r="F61" i="3"/>
  <c r="G61" i="3" s="1"/>
  <c r="F62" i="3"/>
  <c r="G62" i="3" s="1"/>
  <c r="F63" i="3"/>
  <c r="P9" i="9" l="1"/>
  <c r="O11" i="9"/>
  <c r="O14" i="9" s="1"/>
  <c r="Q17" i="9"/>
  <c r="G63" i="3"/>
  <c r="O15" i="9" l="1"/>
  <c r="O16" i="9"/>
  <c r="O21" i="9" s="1"/>
  <c r="O27" i="9" s="1"/>
  <c r="P11" i="9"/>
  <c r="P14" i="9" s="1"/>
  <c r="Q9" i="9"/>
  <c r="Q11" i="9" s="1"/>
  <c r="Q14" i="9" s="1"/>
  <c r="E50" i="13"/>
  <c r="G26" i="13"/>
  <c r="F22" i="9"/>
  <c r="I8" i="6"/>
  <c r="H8" i="6"/>
  <c r="G8" i="6"/>
  <c r="G4" i="9"/>
  <c r="G8" i="9"/>
  <c r="O35" i="11"/>
  <c r="P35" i="11" s="1"/>
  <c r="Q35" i="11" s="1"/>
  <c r="P15" i="9" l="1"/>
  <c r="P16" i="9" s="1"/>
  <c r="P21" i="9" s="1"/>
  <c r="P27" i="9" s="1"/>
  <c r="Q15" i="9"/>
  <c r="Q16" i="9" s="1"/>
  <c r="Q21" i="9" s="1"/>
  <c r="Q27" i="9" s="1"/>
  <c r="N35" i="11"/>
  <c r="G40" i="13" l="1"/>
  <c r="M35" i="11"/>
  <c r="M18" i="11"/>
  <c r="N18" i="11"/>
  <c r="O18" i="11"/>
  <c r="M17" i="11"/>
  <c r="N17" i="11"/>
  <c r="O17" i="11"/>
  <c r="M16" i="11"/>
  <c r="N16" i="11"/>
  <c r="O16" i="11"/>
  <c r="O15" i="11"/>
  <c r="Q14" i="11"/>
  <c r="P14" i="11"/>
  <c r="O14" i="11"/>
  <c r="N14" i="11"/>
  <c r="P9" i="11"/>
  <c r="O9" i="11"/>
  <c r="N9" i="11"/>
  <c r="M9" i="11"/>
  <c r="M8" i="11"/>
  <c r="N8" i="11"/>
  <c r="O8" i="11"/>
  <c r="Q9" i="11"/>
  <c r="Q10" i="11"/>
  <c r="M10" i="11" s="1"/>
  <c r="Q11" i="11"/>
  <c r="M11" i="11" s="1"/>
  <c r="N11" i="11" s="1"/>
  <c r="O11" i="11" s="1"/>
  <c r="P11" i="11" s="1"/>
  <c r="G7" i="6"/>
  <c r="J14" i="7"/>
  <c r="K14" i="7" s="1"/>
  <c r="J13" i="7"/>
  <c r="G13" i="7"/>
  <c r="K13" i="7"/>
  <c r="H12" i="7"/>
  <c r="J12" i="7" s="1"/>
  <c r="K12" i="7" s="1"/>
  <c r="H4" i="7"/>
  <c r="J4" i="7" s="1"/>
  <c r="I7" i="6"/>
  <c r="H7" i="6"/>
  <c r="F7" i="6"/>
  <c r="F19" i="5"/>
  <c r="G19" i="5" s="1"/>
  <c r="H19" i="5" s="1"/>
  <c r="F11" i="5"/>
  <c r="G11" i="5" s="1"/>
  <c r="H11" i="5" s="1"/>
  <c r="G11" i="4"/>
  <c r="H11" i="4"/>
  <c r="I5" i="4"/>
  <c r="J5" i="4" s="1"/>
  <c r="K5" i="4" s="1"/>
  <c r="L5" i="4" s="1"/>
  <c r="I6" i="4"/>
  <c r="J6" i="4" s="1"/>
  <c r="K6" i="4" s="1"/>
  <c r="L6" i="4" s="1"/>
  <c r="I7" i="4"/>
  <c r="J7" i="4" s="1"/>
  <c r="K7" i="4" s="1"/>
  <c r="L7" i="4" s="1"/>
  <c r="I8" i="4"/>
  <c r="J8" i="4" s="1"/>
  <c r="K8" i="4" s="1"/>
  <c r="L8" i="4" s="1"/>
  <c r="I9" i="4"/>
  <c r="J9" i="4" s="1"/>
  <c r="K9" i="4" s="1"/>
  <c r="L9" i="4" s="1"/>
  <c r="I10" i="4"/>
  <c r="J10" i="4" s="1"/>
  <c r="K10" i="4" s="1"/>
  <c r="L10" i="4" s="1"/>
  <c r="I4" i="4"/>
  <c r="I11" i="4" s="1"/>
  <c r="D24" i="4"/>
  <c r="E24" i="4" s="1"/>
  <c r="F24" i="4" s="1"/>
  <c r="D22" i="4"/>
  <c r="E22" i="4" s="1"/>
  <c r="F22" i="4" s="1"/>
  <c r="C23" i="4"/>
  <c r="D23" i="4" s="1"/>
  <c r="E23" i="4" s="1"/>
  <c r="F23" i="4" s="1"/>
  <c r="C17" i="4"/>
  <c r="F37" i="3"/>
  <c r="G37" i="3" s="1"/>
  <c r="F35" i="3"/>
  <c r="G35" i="3" s="1"/>
  <c r="F34" i="3"/>
  <c r="G34" i="3" s="1"/>
  <c r="F33" i="3"/>
  <c r="G33" i="3" s="1"/>
  <c r="C37" i="3"/>
  <c r="D37" i="3" s="1"/>
  <c r="C35" i="3"/>
  <c r="D35" i="3" s="1"/>
  <c r="C25" i="3"/>
  <c r="D25" i="3" s="1"/>
  <c r="C23" i="3"/>
  <c r="D23" i="3" s="1"/>
  <c r="C21" i="3"/>
  <c r="C22" i="3"/>
  <c r="C34" i="3"/>
  <c r="D34" i="3" s="1"/>
  <c r="C33" i="3"/>
  <c r="D33" i="3" s="1"/>
  <c r="F50" i="3"/>
  <c r="F41" i="3"/>
  <c r="F49" i="3" s="1"/>
  <c r="C50" i="3"/>
  <c r="D50" i="3" s="1"/>
  <c r="C41" i="3"/>
  <c r="C49" i="3" s="1"/>
  <c r="D49" i="3" s="1"/>
  <c r="F36" i="3"/>
  <c r="F32" i="3"/>
  <c r="F31" i="3"/>
  <c r="F30" i="3"/>
  <c r="H6" i="2"/>
  <c r="H7" i="2"/>
  <c r="H8" i="2"/>
  <c r="H5" i="2"/>
  <c r="G6" i="2"/>
  <c r="G7" i="2"/>
  <c r="G8" i="2"/>
  <c r="G5" i="2"/>
  <c r="N10" i="11" l="1"/>
  <c r="Q7" i="11"/>
  <c r="J4" i="4"/>
  <c r="C45" i="3"/>
  <c r="F43" i="3"/>
  <c r="F44" i="3" s="1"/>
  <c r="F45" i="3"/>
  <c r="G45" i="3" s="1"/>
  <c r="F48" i="3"/>
  <c r="C53" i="3"/>
  <c r="C46" i="3"/>
  <c r="F42" i="3"/>
  <c r="F46" i="3"/>
  <c r="C62" i="3"/>
  <c r="F47" i="3"/>
  <c r="G47" i="3" s="1"/>
  <c r="C47" i="3"/>
  <c r="D47" i="3" s="1"/>
  <c r="K4" i="7"/>
  <c r="O10" i="11" l="1"/>
  <c r="J11" i="4"/>
  <c r="K4" i="4"/>
  <c r="D62" i="3"/>
  <c r="C61" i="3"/>
  <c r="D61" i="3" s="1"/>
  <c r="C59" i="3"/>
  <c r="D59" i="3" s="1"/>
  <c r="C60" i="3"/>
  <c r="D60" i="3" s="1"/>
  <c r="C57" i="3"/>
  <c r="D57" i="3" s="1"/>
  <c r="C55" i="3"/>
  <c r="C56" i="3" s="1"/>
  <c r="D53" i="3"/>
  <c r="C58" i="3"/>
  <c r="D58" i="3" s="1"/>
  <c r="C54" i="3"/>
  <c r="D54" i="3" s="1"/>
  <c r="N37" i="11"/>
  <c r="Q27" i="11"/>
  <c r="P27" i="11"/>
  <c r="O27" i="11"/>
  <c r="M27" i="11"/>
  <c r="N22" i="11"/>
  <c r="M22" i="11"/>
  <c r="N21" i="11"/>
  <c r="M21" i="11"/>
  <c r="P10" i="11" l="1"/>
  <c r="P7" i="11" s="1"/>
  <c r="D55" i="3"/>
  <c r="L4" i="4"/>
  <c r="L11" i="4" s="1"/>
  <c r="K11" i="4"/>
  <c r="F65" i="3"/>
  <c r="F74" i="3"/>
  <c r="G74" i="3" s="1"/>
  <c r="D56" i="3"/>
  <c r="D63" i="3" s="1"/>
  <c r="C63" i="3"/>
  <c r="G65" i="3" l="1"/>
  <c r="F66" i="3"/>
  <c r="F69" i="3"/>
  <c r="G69" i="3" s="1"/>
  <c r="F71" i="3"/>
  <c r="G71" i="3" s="1"/>
  <c r="F73" i="3"/>
  <c r="G73" i="3" s="1"/>
  <c r="F67" i="3"/>
  <c r="F70" i="3"/>
  <c r="G70" i="3" s="1"/>
  <c r="F72" i="3"/>
  <c r="G72" i="3" s="1"/>
  <c r="B41" i="14"/>
  <c r="E9" i="5" l="1"/>
  <c r="F9" i="5" s="1"/>
  <c r="G9" i="5" s="1"/>
  <c r="H9" i="5" s="1"/>
  <c r="F68" i="3"/>
  <c r="G68" i="3" s="1"/>
  <c r="G67" i="3"/>
  <c r="G66" i="3"/>
  <c r="B45" i="14"/>
  <c r="B46" i="14" s="1"/>
  <c r="B47" i="14" s="1"/>
  <c r="B48" i="14" s="1"/>
  <c r="B49" i="14" s="1"/>
  <c r="B50" i="14" s="1"/>
  <c r="B51" i="14" s="1"/>
  <c r="B52" i="14" s="1"/>
  <c r="B53" i="14" s="1"/>
  <c r="B54" i="14" s="1"/>
  <c r="B40" i="14"/>
  <c r="B39" i="14" s="1"/>
  <c r="B38" i="14" s="1"/>
  <c r="B37" i="14" s="1"/>
  <c r="B36" i="14" s="1"/>
  <c r="B35" i="14" s="1"/>
  <c r="B34" i="14" s="1"/>
  <c r="E15" i="14"/>
  <c r="E26" i="14" s="1"/>
  <c r="D6" i="14"/>
  <c r="F15" i="14"/>
  <c r="G15" i="14" s="1"/>
  <c r="G75" i="3" l="1"/>
  <c r="C16" i="4" s="1"/>
  <c r="D16" i="4" s="1"/>
  <c r="E16" i="4" s="1"/>
  <c r="F16" i="4" s="1"/>
  <c r="F75" i="3"/>
  <c r="G26" i="14"/>
  <c r="H15" i="14"/>
  <c r="H26" i="14" s="1"/>
  <c r="F26" i="14"/>
  <c r="G11" i="14" l="1"/>
  <c r="G12" i="14" s="1"/>
  <c r="I4" i="9"/>
  <c r="G25" i="12" l="1"/>
  <c r="J10" i="9" l="1"/>
  <c r="H34" i="12" s="1"/>
  <c r="H10" i="9"/>
  <c r="F34" i="12" s="1"/>
  <c r="G10" i="9"/>
  <c r="I10" i="9"/>
  <c r="G34" i="12" s="1"/>
  <c r="P23" i="11"/>
  <c r="N23" i="11"/>
  <c r="Q23" i="11"/>
  <c r="O23" i="11"/>
  <c r="M23" i="11"/>
  <c r="E34" i="12"/>
  <c r="J19" i="8" l="1"/>
  <c r="H20" i="8"/>
  <c r="C22" i="8"/>
  <c r="E71" i="13" s="1"/>
  <c r="H19" i="8" l="1"/>
  <c r="H21" i="8" s="1"/>
  <c r="I20" i="8"/>
  <c r="H5" i="7"/>
  <c r="H6" i="7"/>
  <c r="H7" i="7"/>
  <c r="H8" i="7"/>
  <c r="H9" i="7"/>
  <c r="H10" i="7"/>
  <c r="F8" i="6"/>
  <c r="E20" i="5"/>
  <c r="F20" i="5" s="1"/>
  <c r="G20" i="5" s="1"/>
  <c r="H20" i="5" s="1"/>
  <c r="E18" i="5"/>
  <c r="F18" i="5" s="1"/>
  <c r="G18" i="5" s="1"/>
  <c r="H18" i="5" s="1"/>
  <c r="E17" i="5"/>
  <c r="F17" i="5" s="1"/>
  <c r="G17" i="5" s="1"/>
  <c r="H17" i="5" s="1"/>
  <c r="F10" i="5"/>
  <c r="G10" i="5" s="1"/>
  <c r="H10" i="5" s="1"/>
  <c r="F6" i="5"/>
  <c r="G6" i="5" s="1"/>
  <c r="H6" i="5" s="1"/>
  <c r="D17" i="4"/>
  <c r="C43" i="3"/>
  <c r="D43" i="3" s="1"/>
  <c r="C42" i="3"/>
  <c r="D42" i="3" s="1"/>
  <c r="G44" i="3"/>
  <c r="C31" i="3"/>
  <c r="D31" i="3" s="1"/>
  <c r="C30" i="3"/>
  <c r="D30" i="3" s="1"/>
  <c r="C19" i="3"/>
  <c r="C20" i="3" s="1"/>
  <c r="D20" i="3" s="1"/>
  <c r="C18" i="3"/>
  <c r="D18" i="3" s="1"/>
  <c r="G42" i="3"/>
  <c r="G50" i="3"/>
  <c r="G49" i="3"/>
  <c r="G48" i="3"/>
  <c r="G46" i="3"/>
  <c r="G41" i="3"/>
  <c r="C48" i="3"/>
  <c r="D48" i="3" s="1"/>
  <c r="D46" i="3"/>
  <c r="D45" i="3"/>
  <c r="D41" i="3"/>
  <c r="G36" i="3"/>
  <c r="G31" i="3"/>
  <c r="G29" i="3"/>
  <c r="C36" i="3"/>
  <c r="D36" i="3" s="1"/>
  <c r="D29" i="3"/>
  <c r="G22" i="3"/>
  <c r="G21" i="3"/>
  <c r="G25" i="3"/>
  <c r="G24" i="3"/>
  <c r="G23" i="3"/>
  <c r="G19" i="3"/>
  <c r="G17" i="3"/>
  <c r="C24" i="3"/>
  <c r="D24" i="3" s="1"/>
  <c r="D17" i="3"/>
  <c r="F6" i="2"/>
  <c r="J10" i="7" l="1"/>
  <c r="H15" i="7"/>
  <c r="G3" i="8" s="1"/>
  <c r="J20" i="8"/>
  <c r="J21" i="8" s="1"/>
  <c r="J22" i="8" s="1"/>
  <c r="I21" i="8"/>
  <c r="J8" i="7"/>
  <c r="K8" i="7" s="1"/>
  <c r="J6" i="7"/>
  <c r="K6" i="7" s="1"/>
  <c r="J7" i="7"/>
  <c r="K7" i="7" s="1"/>
  <c r="J5" i="7"/>
  <c r="K5" i="7" s="1"/>
  <c r="J9" i="7"/>
  <c r="K9" i="7" s="1"/>
  <c r="F25" i="12"/>
  <c r="F11" i="14"/>
  <c r="F12" i="14" s="1"/>
  <c r="H4" i="9"/>
  <c r="H25" i="12"/>
  <c r="H11" i="14"/>
  <c r="H12" i="14" s="1"/>
  <c r="J4" i="9"/>
  <c r="E25" i="12"/>
  <c r="E11" i="14"/>
  <c r="E12" i="14" s="1"/>
  <c r="F21" i="5"/>
  <c r="E21" i="5"/>
  <c r="E6" i="10" s="1"/>
  <c r="E17" i="4"/>
  <c r="F17" i="4" s="1"/>
  <c r="K10" i="7"/>
  <c r="M12" i="11"/>
  <c r="D25" i="4"/>
  <c r="C25" i="4"/>
  <c r="D19" i="3"/>
  <c r="D27" i="3" s="1"/>
  <c r="F4" i="3" s="1"/>
  <c r="E4" i="5" s="1"/>
  <c r="C27" i="3"/>
  <c r="G43" i="3"/>
  <c r="G51" i="3" s="1"/>
  <c r="E7" i="5" s="1"/>
  <c r="F7" i="5" s="1"/>
  <c r="G7" i="5" s="1"/>
  <c r="H7" i="5" s="1"/>
  <c r="F51" i="3"/>
  <c r="C44" i="3"/>
  <c r="D44" i="3" s="1"/>
  <c r="D51" i="3" s="1"/>
  <c r="G32" i="3"/>
  <c r="G39" i="3" s="1"/>
  <c r="C32" i="3"/>
  <c r="D32" i="3" s="1"/>
  <c r="D39" i="3" s="1"/>
  <c r="F6" i="3" s="1"/>
  <c r="C15" i="4" s="1"/>
  <c r="C18" i="4" s="1"/>
  <c r="C35" i="4" s="1"/>
  <c r="G20" i="3"/>
  <c r="G27" i="3" s="1"/>
  <c r="F5" i="3" s="1"/>
  <c r="G5" i="3" s="1"/>
  <c r="H5" i="3" s="1"/>
  <c r="I5" i="3" s="1"/>
  <c r="F27" i="3"/>
  <c r="F7" i="2"/>
  <c r="F7" i="3" l="1"/>
  <c r="E5" i="5" s="1"/>
  <c r="F8" i="3"/>
  <c r="G8" i="3" s="1"/>
  <c r="H8" i="3" s="1"/>
  <c r="I8" i="3" s="1"/>
  <c r="E8" i="5"/>
  <c r="F8" i="5" s="1"/>
  <c r="G8" i="5" s="1"/>
  <c r="H8" i="5" s="1"/>
  <c r="F5" i="5"/>
  <c r="G5" i="5" s="1"/>
  <c r="H5" i="5" s="1"/>
  <c r="E12" i="5"/>
  <c r="F4" i="5"/>
  <c r="C36" i="4"/>
  <c r="H35" i="14"/>
  <c r="H37" i="14"/>
  <c r="H39" i="14"/>
  <c r="H41" i="14"/>
  <c r="H43" i="14"/>
  <c r="H45" i="14"/>
  <c r="H47" i="14"/>
  <c r="H49" i="14"/>
  <c r="H51" i="14"/>
  <c r="H53" i="14"/>
  <c r="H34" i="14"/>
  <c r="H36" i="14"/>
  <c r="H38" i="14"/>
  <c r="H40" i="14"/>
  <c r="H42" i="14"/>
  <c r="H44" i="14"/>
  <c r="H46" i="14"/>
  <c r="H48" i="14"/>
  <c r="H50" i="14"/>
  <c r="H52" i="14"/>
  <c r="H54" i="14"/>
  <c r="M13" i="11"/>
  <c r="N13" i="11" s="1"/>
  <c r="H21" i="5"/>
  <c r="G21" i="5"/>
  <c r="E19" i="14"/>
  <c r="E31" i="12"/>
  <c r="F19" i="14"/>
  <c r="F31" i="12"/>
  <c r="F6" i="10"/>
  <c r="H8" i="9"/>
  <c r="E16" i="14"/>
  <c r="G7" i="3"/>
  <c r="H7" i="3" s="1"/>
  <c r="I7" i="3" s="1"/>
  <c r="G6" i="3"/>
  <c r="F12" i="3"/>
  <c r="F25" i="4"/>
  <c r="E25" i="4"/>
  <c r="G4" i="3"/>
  <c r="H4" i="3" s="1"/>
  <c r="I4" i="3" s="1"/>
  <c r="C51" i="3"/>
  <c r="F39" i="3"/>
  <c r="C39" i="3"/>
  <c r="F8" i="2"/>
  <c r="G5" i="9" l="1"/>
  <c r="E4" i="10"/>
  <c r="G4" i="5"/>
  <c r="F12" i="5"/>
  <c r="E5" i="10"/>
  <c r="E7" i="10" s="1"/>
  <c r="E8" i="10" s="1"/>
  <c r="E9" i="10" s="1"/>
  <c r="E32" i="12"/>
  <c r="E18" i="14"/>
  <c r="E20" i="14" s="1"/>
  <c r="G7" i="9"/>
  <c r="H6" i="3"/>
  <c r="I6" i="3" s="1"/>
  <c r="D15" i="4"/>
  <c r="O13" i="11"/>
  <c r="N12" i="11"/>
  <c r="H19" i="14"/>
  <c r="H31" i="12"/>
  <c r="H6" i="10"/>
  <c r="J8" i="9"/>
  <c r="G19" i="14"/>
  <c r="G31" i="12"/>
  <c r="G6" i="10"/>
  <c r="I8" i="9"/>
  <c r="G12" i="3"/>
  <c r="E21" i="14"/>
  <c r="F25" i="9" l="1"/>
  <c r="E27" i="12"/>
  <c r="G6" i="9"/>
  <c r="G11" i="9" s="1"/>
  <c r="F5" i="10"/>
  <c r="F32" i="12"/>
  <c r="H7" i="9"/>
  <c r="F18" i="14"/>
  <c r="F20" i="14" s="1"/>
  <c r="G12" i="5"/>
  <c r="H4" i="5"/>
  <c r="H12" i="5" s="1"/>
  <c r="D18" i="4"/>
  <c r="D35" i="4" s="1"/>
  <c r="D36" i="4" s="1"/>
  <c r="E15" i="4"/>
  <c r="O12" i="11"/>
  <c r="O7" i="11" s="1"/>
  <c r="I12" i="3"/>
  <c r="H12" i="3"/>
  <c r="H5" i="10" l="1"/>
  <c r="H18" i="14"/>
  <c r="H20" i="14" s="1"/>
  <c r="J7" i="9"/>
  <c r="H32" i="12"/>
  <c r="G5" i="10"/>
  <c r="G18" i="14"/>
  <c r="G20" i="14" s="1"/>
  <c r="I7" i="9"/>
  <c r="G32" i="12"/>
  <c r="F15" i="4"/>
  <c r="F18" i="4" s="1"/>
  <c r="F35" i="4" s="1"/>
  <c r="F36" i="4" s="1"/>
  <c r="E18" i="4"/>
  <c r="E35" i="4" s="1"/>
  <c r="E36" i="4" s="1"/>
  <c r="F4" i="10"/>
  <c r="F7" i="10" s="1"/>
  <c r="F8" i="10" s="1"/>
  <c r="F16" i="14"/>
  <c r="H5" i="9"/>
  <c r="H6" i="9" l="1"/>
  <c r="F27" i="12"/>
  <c r="G4" i="10"/>
  <c r="G7" i="10" s="1"/>
  <c r="G8" i="10" s="1"/>
  <c r="G16" i="14"/>
  <c r="I5" i="9"/>
  <c r="G25" i="9"/>
  <c r="G26" i="9" s="1"/>
  <c r="F9" i="10"/>
  <c r="H16" i="14"/>
  <c r="H4" i="10"/>
  <c r="H7" i="10" s="1"/>
  <c r="H8" i="10" s="1"/>
  <c r="J5" i="9"/>
  <c r="H21" i="14"/>
  <c r="G21" i="14"/>
  <c r="F21" i="14"/>
  <c r="J6" i="9" l="1"/>
  <c r="H27" i="12"/>
  <c r="I6" i="9"/>
  <c r="G27" i="12"/>
  <c r="I25" i="9"/>
  <c r="I26" i="9" s="1"/>
  <c r="H9" i="10"/>
  <c r="H25" i="9"/>
  <c r="H26" i="9" s="1"/>
  <c r="G9" i="10"/>
  <c r="I9" i="10" s="1"/>
  <c r="J25" i="9" s="1"/>
  <c r="J26" i="9" s="1"/>
  <c r="G30" i="12" l="1"/>
  <c r="G35" i="12" s="1"/>
  <c r="G39" i="12" s="1"/>
  <c r="G40" i="12" s="1"/>
  <c r="G41" i="12" s="1"/>
  <c r="H30" i="12"/>
  <c r="H35" i="12" s="1"/>
  <c r="H39" i="12" s="1"/>
  <c r="H40" i="12" s="1"/>
  <c r="H41" i="12" s="1"/>
  <c r="H11" i="7"/>
  <c r="J11" i="7" l="1"/>
  <c r="F23" i="9"/>
  <c r="G15" i="13"/>
  <c r="F20" i="8"/>
  <c r="F19" i="8"/>
  <c r="F21" i="8" s="1"/>
  <c r="G11" i="8"/>
  <c r="K11" i="7" l="1"/>
  <c r="K15" i="7" s="1"/>
  <c r="J15" i="7"/>
  <c r="F26" i="9"/>
  <c r="F27" i="9" s="1"/>
  <c r="M15" i="11"/>
  <c r="E14" i="14"/>
  <c r="G14" i="8"/>
  <c r="H15" i="8" s="1"/>
  <c r="G12" i="8"/>
  <c r="H13" i="8" s="1"/>
  <c r="G13" i="8"/>
  <c r="H14" i="8" s="1"/>
  <c r="H12" i="8"/>
  <c r="I14" i="8"/>
  <c r="J14" i="8" s="1"/>
  <c r="I15" i="8"/>
  <c r="I12" i="8"/>
  <c r="I13" i="8"/>
  <c r="J13" i="8" s="1"/>
  <c r="J15" i="13"/>
  <c r="N15" i="11" l="1"/>
  <c r="N7" i="11" s="1"/>
  <c r="M7" i="11"/>
  <c r="D5" i="14" s="1"/>
  <c r="D7" i="14" s="1"/>
  <c r="D8" i="14" s="1"/>
  <c r="D9" i="14" s="1"/>
  <c r="D29" i="14" s="1"/>
  <c r="G9" i="9"/>
  <c r="M32" i="11"/>
  <c r="Q32" i="11"/>
  <c r="P32" i="11"/>
  <c r="J15" i="8"/>
  <c r="C51" i="14"/>
  <c r="C52" i="14"/>
  <c r="C49" i="14"/>
  <c r="C44" i="14"/>
  <c r="C35" i="14"/>
  <c r="C43" i="14"/>
  <c r="C40" i="14"/>
  <c r="C46" i="14"/>
  <c r="C54" i="14"/>
  <c r="C37" i="14"/>
  <c r="C48" i="14"/>
  <c r="C34" i="14"/>
  <c r="E25" i="14"/>
  <c r="E22" i="14"/>
  <c r="F14" i="14"/>
  <c r="M38" i="11"/>
  <c r="G28" i="14"/>
  <c r="J12" i="8"/>
  <c r="H28" i="14"/>
  <c r="F28" i="14"/>
  <c r="E28" i="14"/>
  <c r="D49" i="14" s="1"/>
  <c r="C36" i="14" l="1"/>
  <c r="C38" i="14"/>
  <c r="C42" i="14"/>
  <c r="C53" i="14"/>
  <c r="C50" i="14"/>
  <c r="C41" i="14"/>
  <c r="C47" i="14"/>
  <c r="C39" i="14"/>
  <c r="C45" i="14"/>
  <c r="M24" i="11"/>
  <c r="M40" i="11" s="1"/>
  <c r="E28" i="12"/>
  <c r="H9" i="9"/>
  <c r="G14" i="9"/>
  <c r="D43" i="14"/>
  <c r="D44" i="14"/>
  <c r="D38" i="14"/>
  <c r="D47" i="14"/>
  <c r="D39" i="14"/>
  <c r="D50" i="14"/>
  <c r="D45" i="14"/>
  <c r="D37" i="14"/>
  <c r="D54" i="14"/>
  <c r="D40" i="14"/>
  <c r="D35" i="14"/>
  <c r="D52" i="14"/>
  <c r="D41" i="14"/>
  <c r="D36" i="14"/>
  <c r="D51" i="14"/>
  <c r="D53" i="14"/>
  <c r="D42" i="14"/>
  <c r="F25" i="14"/>
  <c r="E53" i="14" s="1"/>
  <c r="F22" i="14"/>
  <c r="G14" i="14"/>
  <c r="D34" i="14"/>
  <c r="D48" i="14"/>
  <c r="D46" i="14"/>
  <c r="E23" i="14"/>
  <c r="E24" i="14" s="1"/>
  <c r="E27" i="14" s="1"/>
  <c r="E29" i="14" s="1"/>
  <c r="G16" i="9" l="1"/>
  <c r="N36" i="11" s="1"/>
  <c r="E30" i="12"/>
  <c r="E35" i="12" s="1"/>
  <c r="E39" i="12" s="1"/>
  <c r="E41" i="12" s="1"/>
  <c r="I9" i="9"/>
  <c r="H11" i="9"/>
  <c r="H14" i="9" s="1"/>
  <c r="H15" i="9" s="1"/>
  <c r="H16" i="9" s="1"/>
  <c r="O36" i="11" s="1"/>
  <c r="G17" i="9"/>
  <c r="G21" i="9" s="1"/>
  <c r="F28" i="12"/>
  <c r="F30" i="12" s="1"/>
  <c r="F35" i="12" s="1"/>
  <c r="F39" i="12" s="1"/>
  <c r="F40" i="12" s="1"/>
  <c r="F41" i="12" s="1"/>
  <c r="E38" i="14"/>
  <c r="E42" i="14"/>
  <c r="E36" i="14"/>
  <c r="E52" i="14"/>
  <c r="E50" i="14"/>
  <c r="E40" i="14"/>
  <c r="E47" i="14"/>
  <c r="E41" i="14"/>
  <c r="E49" i="14"/>
  <c r="E51" i="14"/>
  <c r="F23" i="14"/>
  <c r="F24" i="14" s="1"/>
  <c r="F27" i="14" s="1"/>
  <c r="F29" i="14" s="1"/>
  <c r="E54" i="14"/>
  <c r="E45" i="14"/>
  <c r="E46" i="14"/>
  <c r="E48" i="14"/>
  <c r="E44" i="14"/>
  <c r="E35" i="14"/>
  <c r="G25" i="14"/>
  <c r="F46" i="14" s="1"/>
  <c r="H14" i="14"/>
  <c r="G22" i="14"/>
  <c r="E37" i="14"/>
  <c r="E39" i="14"/>
  <c r="E43" i="14"/>
  <c r="E34" i="14"/>
  <c r="N38" i="11" l="1"/>
  <c r="N30" i="11"/>
  <c r="N32" i="11" s="1"/>
  <c r="G27" i="9"/>
  <c r="F47" i="14"/>
  <c r="F43" i="14"/>
  <c r="F39" i="14"/>
  <c r="F50" i="14"/>
  <c r="J9" i="9"/>
  <c r="J11" i="9" s="1"/>
  <c r="J14" i="9" s="1"/>
  <c r="J15" i="9" s="1"/>
  <c r="J16" i="9" s="1"/>
  <c r="Q36" i="11" s="1"/>
  <c r="I11" i="9"/>
  <c r="I14" i="9" s="1"/>
  <c r="I15" i="9" s="1"/>
  <c r="I16" i="9" s="1"/>
  <c r="P36" i="11" s="1"/>
  <c r="O38" i="11"/>
  <c r="I17" i="9"/>
  <c r="H17" i="9"/>
  <c r="H21" i="9" s="1"/>
  <c r="H27" i="9" s="1"/>
  <c r="J17" i="9"/>
  <c r="J21" i="9" s="1"/>
  <c r="J27" i="9" s="1"/>
  <c r="Q38" i="11"/>
  <c r="F51" i="14"/>
  <c r="F48" i="14"/>
  <c r="F42" i="14"/>
  <c r="F37" i="14"/>
  <c r="F35" i="14"/>
  <c r="F53" i="14"/>
  <c r="G23" i="14"/>
  <c r="G24" i="14" s="1"/>
  <c r="G27" i="14" s="1"/>
  <c r="G29" i="14" s="1"/>
  <c r="F41" i="14"/>
  <c r="F36" i="14"/>
  <c r="F34" i="14"/>
  <c r="F52" i="14"/>
  <c r="F40" i="14"/>
  <c r="F49" i="14"/>
  <c r="F45" i="14"/>
  <c r="F38" i="14"/>
  <c r="F54" i="14"/>
  <c r="F44" i="14"/>
  <c r="H25" i="14"/>
  <c r="G43" i="14" s="1"/>
  <c r="H22" i="14"/>
  <c r="G49" i="14"/>
  <c r="N5" i="11" l="1"/>
  <c r="G27" i="13"/>
  <c r="G28" i="13" s="1"/>
  <c r="J43" i="14"/>
  <c r="I21" i="9"/>
  <c r="I27" i="9" s="1"/>
  <c r="G29" i="13"/>
  <c r="G30" i="13" s="1"/>
  <c r="G14" i="13"/>
  <c r="J14" i="13"/>
  <c r="E72" i="13"/>
  <c r="F72" i="13" s="1"/>
  <c r="P38" i="11"/>
  <c r="G38" i="14"/>
  <c r="G42" i="14"/>
  <c r="I42" i="14" s="1"/>
  <c r="G35" i="14"/>
  <c r="I35" i="14" s="1"/>
  <c r="G34" i="14"/>
  <c r="I34" i="14" s="1"/>
  <c r="G52" i="14"/>
  <c r="G41" i="14"/>
  <c r="G51" i="14"/>
  <c r="I51" i="14" s="1"/>
  <c r="G36" i="14"/>
  <c r="G54" i="14"/>
  <c r="G40" i="14"/>
  <c r="G45" i="14"/>
  <c r="J45" i="14" s="1"/>
  <c r="G47" i="14"/>
  <c r="I47" i="14" s="1"/>
  <c r="G48" i="14"/>
  <c r="J48" i="14" s="1"/>
  <c r="O5" i="11"/>
  <c r="F71" i="13"/>
  <c r="G16" i="13"/>
  <c r="F70" i="13"/>
  <c r="J16" i="13"/>
  <c r="Q5" i="11"/>
  <c r="P5" i="11"/>
  <c r="F50" i="13"/>
  <c r="E51" i="13"/>
  <c r="F51" i="13" s="1"/>
  <c r="N6" i="11"/>
  <c r="N24" i="11"/>
  <c r="N40" i="11" s="1"/>
  <c r="J51" i="14"/>
  <c r="J35" i="14"/>
  <c r="J42" i="14"/>
  <c r="G50" i="14"/>
  <c r="G39" i="14"/>
  <c r="G37" i="14"/>
  <c r="I37" i="14" s="1"/>
  <c r="J54" i="14"/>
  <c r="I45" i="14"/>
  <c r="J34" i="14"/>
  <c r="G44" i="14"/>
  <c r="J44" i="14" s="1"/>
  <c r="I43" i="14"/>
  <c r="H23" i="14"/>
  <c r="H24" i="14" s="1"/>
  <c r="H27" i="14" s="1"/>
  <c r="H29" i="14" s="1"/>
  <c r="G46" i="14"/>
  <c r="G53" i="14"/>
  <c r="I44" i="14"/>
  <c r="J38" i="14"/>
  <c r="I38" i="14"/>
  <c r="I49" i="14"/>
  <c r="J49" i="14"/>
  <c r="J52" i="14"/>
  <c r="I52" i="14"/>
  <c r="J36" i="14"/>
  <c r="I36" i="14"/>
  <c r="I48" i="14"/>
  <c r="I54" i="14"/>
  <c r="J40" i="14"/>
  <c r="I40" i="14"/>
  <c r="J41" i="14"/>
  <c r="I41" i="14"/>
  <c r="J47" i="14"/>
  <c r="G31" i="13" l="1"/>
  <c r="G32" i="13" s="1"/>
  <c r="G33" i="13" s="1"/>
  <c r="F49" i="13"/>
  <c r="P6" i="11"/>
  <c r="P24" i="11"/>
  <c r="P40" i="11" s="1"/>
  <c r="Q6" i="11"/>
  <c r="Q24" i="11"/>
  <c r="Q40" i="11" s="1"/>
  <c r="O6" i="11"/>
  <c r="O24" i="11"/>
  <c r="O40" i="11" s="1"/>
  <c r="J37" i="14"/>
  <c r="J39" i="14"/>
  <c r="I39" i="14"/>
  <c r="I50" i="14"/>
  <c r="J50" i="14"/>
  <c r="J53" i="14"/>
  <c r="I53" i="14"/>
  <c r="J46" i="14"/>
  <c r="I46" i="14"/>
</calcChain>
</file>

<file path=xl/sharedStrings.xml><?xml version="1.0" encoding="utf-8"?>
<sst xmlns="http://schemas.openxmlformats.org/spreadsheetml/2006/main" count="455" uniqueCount="253">
  <si>
    <t>AÑO</t>
  </si>
  <si>
    <t>OFERTA</t>
  </si>
  <si>
    <t>PARTICIPACION</t>
  </si>
  <si>
    <t>PROYECCION DE LA DEMANDA Y UNIDADES A PRODUCIR</t>
  </si>
  <si>
    <t xml:space="preserve">DEMANDA </t>
  </si>
  <si>
    <t>UNIDADES PRODUCIDAS</t>
  </si>
  <si>
    <t>CRECIMIENTO DEMANDA</t>
  </si>
  <si>
    <t>CRECIMIENTO OFERTA</t>
  </si>
  <si>
    <t>GERENTE GENERAL</t>
  </si>
  <si>
    <t>CONTADOR</t>
  </si>
  <si>
    <t>AÑO 1</t>
  </si>
  <si>
    <t>AÑO 4</t>
  </si>
  <si>
    <t>AÑO 3</t>
  </si>
  <si>
    <t>INDICADORES</t>
  </si>
  <si>
    <t>SALARIO MINIMO ENESCO</t>
  </si>
  <si>
    <t>NOMINA PERSONAL ADMINISTRATIVO Y OPERATIVO NECESARIO</t>
  </si>
  <si>
    <t>AUX TRANSPORTE</t>
  </si>
  <si>
    <t>INCREMENTO ANUAL</t>
  </si>
  <si>
    <t>ANUAL</t>
  </si>
  <si>
    <t>Pension</t>
  </si>
  <si>
    <t>Riesgos</t>
  </si>
  <si>
    <t>Cesantias</t>
  </si>
  <si>
    <t>Prima</t>
  </si>
  <si>
    <t>Interes Cesantias</t>
  </si>
  <si>
    <t>Caja de compensación familiar</t>
  </si>
  <si>
    <t>Vacaciones</t>
  </si>
  <si>
    <t>Auxilio de transporte</t>
  </si>
  <si>
    <t>TOTAL</t>
  </si>
  <si>
    <t xml:space="preserve">MENSUAL </t>
  </si>
  <si>
    <t>Salario</t>
  </si>
  <si>
    <t>Salud</t>
  </si>
  <si>
    <t>TOTAL NOMINA</t>
  </si>
  <si>
    <t>C/UNITARIO</t>
  </si>
  <si>
    <t>UNIDADES</t>
  </si>
  <si>
    <t>COSTO TOTAL</t>
  </si>
  <si>
    <t>U/AÑO 1</t>
  </si>
  <si>
    <t>U/AÑO 2</t>
  </si>
  <si>
    <t>U/AÑO 3</t>
  </si>
  <si>
    <t>U/AÑO 4</t>
  </si>
  <si>
    <t>MANO DE OBRA DIRECTA</t>
  </si>
  <si>
    <t>COSTO TOTAL MOD</t>
  </si>
  <si>
    <t xml:space="preserve">COSTOS GENERALES </t>
  </si>
  <si>
    <t>Arrendamientos</t>
  </si>
  <si>
    <t>Seguros</t>
  </si>
  <si>
    <t>Servicios publicos</t>
  </si>
  <si>
    <t>COSTOS</t>
  </si>
  <si>
    <t>Costo unitario</t>
  </si>
  <si>
    <t>AÑO 2</t>
  </si>
  <si>
    <t>GASTOS ADMINISTRATIVOS</t>
  </si>
  <si>
    <t>GASTOS DE REPRESENTACION Y VENTAS</t>
  </si>
  <si>
    <t>DISTRIBUCION</t>
  </si>
  <si>
    <t>PUBLICIDAD</t>
  </si>
  <si>
    <t>PLATAFORMA VIRTUAL</t>
  </si>
  <si>
    <t>INGRESOS POR VENTAS</t>
  </si>
  <si>
    <t xml:space="preserve">PRECIO DE VENTA </t>
  </si>
  <si>
    <t>UNIDADES POR AÑO</t>
  </si>
  <si>
    <t>INGRESOS TOTALES</t>
  </si>
  <si>
    <t>INVERSION DEL PROYECTO</t>
  </si>
  <si>
    <t>ITEM</t>
  </si>
  <si>
    <t>VALOR UNITARIO</t>
  </si>
  <si>
    <t>VALOR TOTAL</t>
  </si>
  <si>
    <t>VIDA UTIL</t>
  </si>
  <si>
    <t>DEPRECIACION</t>
  </si>
  <si>
    <t>VALOR SALVAMENTO</t>
  </si>
  <si>
    <t>Patentes</t>
  </si>
  <si>
    <t>TOTAL INVERSION</t>
  </si>
  <si>
    <t xml:space="preserve">DURACION DEL PROYECTO </t>
  </si>
  <si>
    <t>4 AÑOS</t>
  </si>
  <si>
    <t>CREDITO</t>
  </si>
  <si>
    <t xml:space="preserve">Valor del credito </t>
  </si>
  <si>
    <t>Participacion</t>
  </si>
  <si>
    <t>Duracion</t>
  </si>
  <si>
    <t>Tasa de interes</t>
  </si>
  <si>
    <t>4 años</t>
  </si>
  <si>
    <t>CALCULO DE LA CUOTA</t>
  </si>
  <si>
    <t>NUMERO DE LA CUOTA</t>
  </si>
  <si>
    <t xml:space="preserve">SALDO </t>
  </si>
  <si>
    <t>INTERES</t>
  </si>
  <si>
    <t>ABONO A CAPITAL</t>
  </si>
  <si>
    <t>VALOR DE LA CUOTA</t>
  </si>
  <si>
    <t>TIO</t>
  </si>
  <si>
    <t>CDT</t>
  </si>
  <si>
    <t>TES</t>
  </si>
  <si>
    <t>RENTABILIDAD</t>
  </si>
  <si>
    <t>RIESGO</t>
  </si>
  <si>
    <t>WACC</t>
  </si>
  <si>
    <t>FUENTE</t>
  </si>
  <si>
    <t>VALOR</t>
  </si>
  <si>
    <t>PORCENTAJE ANTES DE IMP</t>
  </si>
  <si>
    <t>PORCENTAJE DESPUES DE IMP</t>
  </si>
  <si>
    <t>PONDERACION</t>
  </si>
  <si>
    <t>SOCIOS</t>
  </si>
  <si>
    <t>Ventas</t>
  </si>
  <si>
    <t>costos de produccion</t>
  </si>
  <si>
    <t>utilidad bruta</t>
  </si>
  <si>
    <t>gastos administracion</t>
  </si>
  <si>
    <t>gastos de ventas</t>
  </si>
  <si>
    <t>depreciacion</t>
  </si>
  <si>
    <t>amortizacion</t>
  </si>
  <si>
    <t>utilidad operativa</t>
  </si>
  <si>
    <t>otros ingresos</t>
  </si>
  <si>
    <t>otros egresos</t>
  </si>
  <si>
    <t>utilidad antes de impuestos</t>
  </si>
  <si>
    <t>utilidad neta</t>
  </si>
  <si>
    <t>gastos financieros</t>
  </si>
  <si>
    <t>pago a capital</t>
  </si>
  <si>
    <t>flujo neto operativo</t>
  </si>
  <si>
    <t>Inversiones</t>
  </si>
  <si>
    <t>Activos Fijos</t>
  </si>
  <si>
    <t xml:space="preserve">Activos diferidos </t>
  </si>
  <si>
    <t>Capital de trabajo</t>
  </si>
  <si>
    <t>Flujo neto de Inversion</t>
  </si>
  <si>
    <t>FLUJO DE CAJA LIBRE</t>
  </si>
  <si>
    <t>Año</t>
  </si>
  <si>
    <t>impuestos 34%</t>
  </si>
  <si>
    <t>CAPITAL DE TRABAJO</t>
  </si>
  <si>
    <t>COSTOS DE PRODUCCION</t>
  </si>
  <si>
    <t>GASTOS DE VENTAS</t>
  </si>
  <si>
    <t>TOTAL EGRESOS</t>
  </si>
  <si>
    <t>FLUJO DE CAJA LIBRE CON FINANCIAMIENTO</t>
  </si>
  <si>
    <t>AÑO1</t>
  </si>
  <si>
    <t>Devoluciones y rebajas en ventas</t>
  </si>
  <si>
    <t>Depreciación</t>
  </si>
  <si>
    <t>Otros Costos</t>
  </si>
  <si>
    <t>Utilidad Bruta</t>
  </si>
  <si>
    <t>Gasto de Ventas</t>
  </si>
  <si>
    <t>Gastos de Administracion</t>
  </si>
  <si>
    <t>Provisiones</t>
  </si>
  <si>
    <t>Amortización Gastos</t>
  </si>
  <si>
    <t>Utilidad Operativa</t>
  </si>
  <si>
    <t>Otros ingresos</t>
  </si>
  <si>
    <t xml:space="preserve"> Intereses</t>
  </si>
  <si>
    <t>Otros ingresos y egresos</t>
  </si>
  <si>
    <t>Utilidad antes de impuestos</t>
  </si>
  <si>
    <t>Impuestos (35%)</t>
  </si>
  <si>
    <t>Utilidad Neta Final</t>
  </si>
  <si>
    <t>BALANCE GENERAL SIN FINANCIACIÓN</t>
  </si>
  <si>
    <t>ÍTEM</t>
  </si>
  <si>
    <t>Año 0</t>
  </si>
  <si>
    <t>Año 1</t>
  </si>
  <si>
    <t>Año 2</t>
  </si>
  <si>
    <t>Año 3</t>
  </si>
  <si>
    <t>Año 4</t>
  </si>
  <si>
    <t>ACTIVO</t>
  </si>
  <si>
    <t>Activo corriente</t>
  </si>
  <si>
    <t>Bancos</t>
  </si>
  <si>
    <t>Activo fijo</t>
  </si>
  <si>
    <t>Activo diferido</t>
  </si>
  <si>
    <t>Trámites</t>
  </si>
  <si>
    <t>Amortización</t>
  </si>
  <si>
    <t>TOTAL ACTIVO</t>
  </si>
  <si>
    <t>PASIVO</t>
  </si>
  <si>
    <t>Pasivo corriente</t>
  </si>
  <si>
    <t>Obligaciones financieras</t>
  </si>
  <si>
    <t>Cuentas por pagar (proveedores)</t>
  </si>
  <si>
    <t>Pasivo no corriente</t>
  </si>
  <si>
    <t>Obigaciones bancarias largo plazo</t>
  </si>
  <si>
    <t>TOTAL PASIVO</t>
  </si>
  <si>
    <t>PATRIMONIO</t>
  </si>
  <si>
    <t>Capital social</t>
  </si>
  <si>
    <t>Utilidad neta</t>
  </si>
  <si>
    <t>Utilidad acumulada</t>
  </si>
  <si>
    <t>TOTAL PATRIMONIO</t>
  </si>
  <si>
    <t>ACTIVO - PASIVO</t>
  </si>
  <si>
    <t>VPN</t>
  </si>
  <si>
    <t>INVERSION INICIAL</t>
  </si>
  <si>
    <t>IR</t>
  </si>
  <si>
    <t>VPN INGRESOS</t>
  </si>
  <si>
    <t>VPN EGRESOS</t>
  </si>
  <si>
    <t>RB/C</t>
  </si>
  <si>
    <t>INVERSION</t>
  </si>
  <si>
    <t>FALTA POR RECUPERAR</t>
  </si>
  <si>
    <t>MENSUAL</t>
  </si>
  <si>
    <t>MESES</t>
  </si>
  <si>
    <t>TIR</t>
  </si>
  <si>
    <t xml:space="preserve">TIR </t>
  </si>
  <si>
    <t>ZONA DE ACEPTACION CON FINANCIAMIENTO</t>
  </si>
  <si>
    <t>ZONA DE ACEPTACION SIN FINANCIAMIENTO</t>
  </si>
  <si>
    <t>DIAGRAMA SIN FINANCIAMIENTO</t>
  </si>
  <si>
    <t>Flujos de Fondos Proyectados</t>
  </si>
  <si>
    <t>Variación en los precios de venta</t>
  </si>
  <si>
    <t>FLUJO NETO DE EFECTIVO</t>
  </si>
  <si>
    <t>CUENTAS</t>
  </si>
  <si>
    <t>Efectivo</t>
  </si>
  <si>
    <t>Activos fijos</t>
  </si>
  <si>
    <t>Activos diferidos</t>
  </si>
  <si>
    <t>INVERSION TOTAL</t>
  </si>
  <si>
    <t>Financiamiento</t>
  </si>
  <si>
    <t>INVESION NETA</t>
  </si>
  <si>
    <t>INGRESOS</t>
  </si>
  <si>
    <t>TOTAL INGRESOS</t>
  </si>
  <si>
    <t xml:space="preserve">Activos fijos (valor de salvamento) </t>
  </si>
  <si>
    <t>.- Depreciacion</t>
  </si>
  <si>
    <t>.- Amortizacion de diferidos</t>
  </si>
  <si>
    <t>.- Costos de produccion</t>
  </si>
  <si>
    <t>GASTOS OPERACIONALES</t>
  </si>
  <si>
    <t>Gastos administracion</t>
  </si>
  <si>
    <t>Gastos de ventas</t>
  </si>
  <si>
    <t>TOTAL GASTOS OPERACIONALES</t>
  </si>
  <si>
    <t>.- Gastos financieros</t>
  </si>
  <si>
    <t>UTIIIDAD NETA ANTES DE IMPUESTOS</t>
  </si>
  <si>
    <t>UTILIDAD NETA</t>
  </si>
  <si>
    <t>.+ Depreciacion</t>
  </si>
  <si>
    <t>.+Amortizacion</t>
  </si>
  <si>
    <t>FLUJO DE FONDOS OPERACIONAL</t>
  </si>
  <si>
    <t>.-Amortizacion crédito</t>
  </si>
  <si>
    <t>FLUJO DE FONDOS</t>
  </si>
  <si>
    <t>Impuesto de renta 34%</t>
  </si>
  <si>
    <t>Costos de produccion</t>
  </si>
  <si>
    <t>INSPECTOR</t>
  </si>
  <si>
    <t>TECNICO</t>
  </si>
  <si>
    <t>ASISTENTE ADMINISTRATIVO</t>
  </si>
  <si>
    <t>VENTAS</t>
  </si>
  <si>
    <t>SERVICIOS GENERALES</t>
  </si>
  <si>
    <t>AUXILIAR CONTABLE</t>
  </si>
  <si>
    <t>COSTOS MANTENIMIENTO</t>
  </si>
  <si>
    <t>VEHÍCULO</t>
  </si>
  <si>
    <t>Renault Sandero</t>
  </si>
  <si>
    <t>Renault Logan</t>
  </si>
  <si>
    <t>Renault Duster</t>
  </si>
  <si>
    <t>Fotón Mini Van</t>
  </si>
  <si>
    <t>Great Wall Volteex</t>
  </si>
  <si>
    <t>Geely MK</t>
  </si>
  <si>
    <t>Renault Clio</t>
  </si>
  <si>
    <t xml:space="preserve">CONDUCTOR </t>
  </si>
  <si>
    <t>Inspector</t>
  </si>
  <si>
    <t>Conductor</t>
  </si>
  <si>
    <t>Tecnico</t>
  </si>
  <si>
    <t>MARKETING DIGITAL</t>
  </si>
  <si>
    <t>GASTOS VENTAS Y REP</t>
  </si>
  <si>
    <t>Maquinaria y herramientas</t>
  </si>
  <si>
    <t>Equipos de seguridad</t>
  </si>
  <si>
    <t xml:space="preserve">Renault Sandero </t>
  </si>
  <si>
    <t>Great Wall Voleex</t>
  </si>
  <si>
    <t>Equipos de computo y similares</t>
  </si>
  <si>
    <t>Muebles y enseres</t>
  </si>
  <si>
    <t>j</t>
  </si>
  <si>
    <t>ghj</t>
  </si>
  <si>
    <t>INCREMENTO CP</t>
  </si>
  <si>
    <t xml:space="preserve">FLUJO DE CAJA LIBRE </t>
  </si>
  <si>
    <t xml:space="preserve">ESTADO DE RESULTADOS </t>
  </si>
  <si>
    <t xml:space="preserve">INDICE DE RENTABILIDAD </t>
  </si>
  <si>
    <t xml:space="preserve">RELACIÓN BENEFICIO-COSTO </t>
  </si>
  <si>
    <t xml:space="preserve">PERIODO DE RECUPERACION DE LA INVERSION </t>
  </si>
  <si>
    <t xml:space="preserve">TIR DEL PROYECTO </t>
  </si>
  <si>
    <t xml:space="preserve">Gastos Administrativos </t>
  </si>
  <si>
    <t>Gerente General</t>
  </si>
  <si>
    <t>Asistente Administrativa</t>
  </si>
  <si>
    <t>Servicio Contable</t>
  </si>
  <si>
    <t>Personal de ventas</t>
  </si>
  <si>
    <t>Auxiliar Contable</t>
  </si>
  <si>
    <t>Mantenimiento de Equipos</t>
  </si>
  <si>
    <t>Papeleria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</si>
</sst>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&quot;$&quot;\ #,##0_);[Red]\(&quot;$&quot;\ #,##0\)"/>
    <numFmt numFmtId="165" formatCode="&quot;$&quot;\ #,##0.00_);[Red]\(&quot;$&quot;\ #,##0.00\)"/>
    <numFmt numFmtId="166" formatCode="_(&quot;$&quot;\ * #,##0.00_);_(&quot;$&quot;\ * \(#,##0.00\);_(&quot;$&quot;\ * &quot;-&quot;??_);_(@_)"/>
    <numFmt numFmtId="167" formatCode="_(* #,##0.00_);_(* \(#,##0.00\);_(* &quot;-&quot;??_);_(@_)"/>
    <numFmt numFmtId="168" formatCode="_-* #,##0.00_-;\-* #,##0.00_-;_-* &quot;-&quot;??_-;_-@_-"/>
    <numFmt numFmtId="169" formatCode="&quot;$&quot;\ #,##0"/>
    <numFmt numFmtId="170" formatCode="_-[$$-240A]\ * #,##0.00_ ;_-[$$-240A]\ * \-#,##0.00\ ;_-[$$-240A]\ * &quot;-&quot;??_ ;_-@_ "/>
    <numFmt numFmtId="171" formatCode="&quot;$&quot;\ #,##0.00"/>
    <numFmt numFmtId="172" formatCode="0.0"/>
    <numFmt numFmtId="173" formatCode="_-* #,##0\ _€_-;\-* #,##0\ _€_-;_-* &quot;-&quot;??\ _€_-;_-@_-"/>
    <numFmt numFmtId="174" formatCode="0.0%"/>
    <numFmt numFmtId="175" formatCode="_([$$-240A]\ * #,##0.00_);_([$$-240A]\ * \(#,##0.00\);_([$$-240A]\ * &quot;-&quot;??_);_(@_)"/>
    <numFmt numFmtId="176" formatCode="#,##0.00\ &quot;€&quot;"/>
    <numFmt numFmtId="177" formatCode="_(* #,##0_);_(* \(#,##0\);_(* &quot;-&quot;??_);_(@_)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Black"/>
      <family val="2"/>
    </font>
    <font>
      <sz val="10"/>
      <color theme="1"/>
      <name val="Arial Black"/>
      <family val="2"/>
    </font>
    <font>
      <sz val="11"/>
      <color rgb="FF000000"/>
      <name val="Arial"/>
      <family val="2"/>
    </font>
    <font>
      <sz val="11"/>
      <color rgb="FFFFFFFF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b/>
      <sz val="18"/>
      <color rgb="FF1F4A7E"/>
      <name val="Cambria"/>
      <family val="2"/>
    </font>
    <font>
      <b/>
      <sz val="15"/>
      <color rgb="FF1F4A7E"/>
      <name val="Arial"/>
      <family val="2"/>
    </font>
    <font>
      <b/>
      <sz val="13"/>
      <color rgb="FF1F4A7E"/>
      <name val="Arial"/>
      <family val="2"/>
    </font>
    <font>
      <b/>
      <sz val="11"/>
      <color rgb="FF1F4A7E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i/>
      <sz val="11"/>
      <color rgb="FF7F7F7F"/>
      <name val="Arial"/>
      <family val="2"/>
    </font>
    <font>
      <sz val="11"/>
      <color rgb="FFFF0000"/>
      <name val="Arial"/>
      <family val="2"/>
    </font>
    <font>
      <b/>
      <sz val="11"/>
      <color rgb="FFFA7D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sz val="11"/>
      <color rgb="FF9C6500"/>
      <name val="Arial"/>
      <family val="2"/>
    </font>
    <font>
      <sz val="11"/>
      <color rgb="FFFA7D00"/>
      <name val="Arial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12"/>
      <color theme="1"/>
      <name val="Arial Black"/>
      <family val="2"/>
    </font>
    <font>
      <b/>
      <sz val="11"/>
      <color theme="1"/>
      <name val="Arial Black"/>
      <family val="2"/>
    </font>
    <font>
      <b/>
      <sz val="11"/>
      <color rgb="FF3F3F3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Arial Black"/>
      <family val="2"/>
    </font>
    <font>
      <b/>
      <sz val="12"/>
      <color theme="1"/>
      <name val="Arial Black"/>
      <family val="2"/>
    </font>
    <font>
      <sz val="12"/>
      <color rgb="FF000000"/>
      <name val="Arial Black"/>
      <family val="2"/>
    </font>
    <font>
      <b/>
      <sz val="12"/>
      <color rgb="FF000000"/>
      <name val="Arial Black"/>
      <family val="2"/>
    </font>
    <font>
      <sz val="11"/>
      <name val="Arial Black"/>
      <family val="2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8CBE4"/>
      </patternFill>
    </fill>
    <fill>
      <patternFill patternType="solid">
        <fgColor rgb="FFE5B8B6"/>
      </patternFill>
    </fill>
    <fill>
      <patternFill patternType="solid">
        <fgColor rgb="FFD5E3BB"/>
      </patternFill>
    </fill>
    <fill>
      <patternFill patternType="solid">
        <fgColor rgb="FFCABFD8"/>
      </patternFill>
    </fill>
    <fill>
      <patternFill patternType="solid">
        <fgColor rgb="FFB6DDE8"/>
      </patternFill>
    </fill>
    <fill>
      <patternFill patternType="solid">
        <fgColor rgb="FFFBD3B3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8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6BFDD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1">
    <xf numFmtId="0" fontId="0" fillId="0" borderId="0"/>
    <xf numFmtId="44" fontId="1" fillId="0" borderId="0" applyFont="0" applyFill="0" applyBorder="0" applyAlignment="0" applyProtection="0"/>
    <xf numFmtId="0" fontId="4" fillId="0" borderId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8" fillId="0" borderId="0" applyNumberFormat="0" applyFill="0" applyBorder="0" applyAlignment="0" applyProtection="0"/>
    <xf numFmtId="0" fontId="9" fillId="0" borderId="42" applyNumberFormat="0" applyFill="0" applyAlignment="0" applyProtection="0"/>
    <xf numFmtId="0" fontId="10" fillId="0" borderId="43" applyNumberFormat="0" applyFill="0" applyAlignment="0" applyProtection="0"/>
    <xf numFmtId="0" fontId="11" fillId="0" borderId="44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4" applyNumberFormat="0" applyAlignment="0" applyProtection="0"/>
    <xf numFmtId="0" fontId="13" fillId="0" borderId="45" applyNumberFormat="0" applyFill="0" applyAlignment="0" applyProtection="0"/>
    <xf numFmtId="0" fontId="4" fillId="8" borderId="5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6" borderId="1" applyNumberFormat="0" applyAlignment="0" applyProtection="0"/>
    <xf numFmtId="0" fontId="17" fillId="5" borderId="1" applyNumberFormat="0" applyAlignment="0" applyProtection="0"/>
    <xf numFmtId="0" fontId="18" fillId="6" borderId="2" applyNumberFormat="0" applyAlignment="0" applyProtection="0"/>
    <xf numFmtId="0" fontId="19" fillId="4" borderId="0" applyNumberFormat="0" applyBorder="0" applyAlignment="0" applyProtection="0"/>
    <xf numFmtId="0" fontId="20" fillId="0" borderId="3" applyNumberFormat="0" applyFill="0" applyAlignment="0" applyProtection="0"/>
    <xf numFmtId="0" fontId="22" fillId="0" borderId="0">
      <alignment vertical="center"/>
    </xf>
    <xf numFmtId="44" fontId="21" fillId="0" borderId="0">
      <alignment vertical="top"/>
      <protection locked="0"/>
    </xf>
    <xf numFmtId="168" fontId="22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5" fillId="6" borderId="2" applyNumberFormat="0" applyAlignment="0" applyProtection="0"/>
    <xf numFmtId="0" fontId="26" fillId="39" borderId="0" applyNumberFormat="0" applyBorder="0" applyAlignment="0" applyProtection="0"/>
    <xf numFmtId="44" fontId="1" fillId="0" borderId="0" applyFont="0" applyFill="0" applyBorder="0" applyAlignment="0" applyProtection="0"/>
  </cellStyleXfs>
  <cellXfs count="294">
    <xf numFmtId="0" fontId="0" fillId="0" borderId="0" xfId="0"/>
    <xf numFmtId="0" fontId="0" fillId="0" borderId="0" xfId="0" applyAlignment="1">
      <alignment horizontal="center"/>
    </xf>
    <xf numFmtId="0" fontId="2" fillId="12" borderId="22" xfId="0" applyFont="1" applyFill="1" applyBorder="1"/>
    <xf numFmtId="0" fontId="2" fillId="13" borderId="21" xfId="0" applyFont="1" applyFill="1" applyBorder="1"/>
    <xf numFmtId="0" fontId="2" fillId="12" borderId="6" xfId="0" applyFont="1" applyFill="1" applyBorder="1"/>
    <xf numFmtId="0" fontId="2" fillId="12" borderId="11" xfId="0" applyFont="1" applyFill="1" applyBorder="1"/>
    <xf numFmtId="0" fontId="2" fillId="12" borderId="13" xfId="0" applyFont="1" applyFill="1" applyBorder="1"/>
    <xf numFmtId="0" fontId="2" fillId="12" borderId="34" xfId="0" applyFont="1" applyFill="1" applyBorder="1"/>
    <xf numFmtId="0" fontId="2" fillId="0" borderId="10" xfId="0" applyFont="1" applyBorder="1"/>
    <xf numFmtId="0" fontId="2" fillId="12" borderId="35" xfId="0" applyFont="1" applyFill="1" applyBorder="1"/>
    <xf numFmtId="0" fontId="2" fillId="0" borderId="12" xfId="0" applyFont="1" applyBorder="1"/>
    <xf numFmtId="0" fontId="2" fillId="12" borderId="36" xfId="0" applyFont="1" applyFill="1" applyBorder="1"/>
    <xf numFmtId="0" fontId="2" fillId="14" borderId="0" xfId="0" applyFont="1" applyFill="1" applyBorder="1"/>
    <xf numFmtId="0" fontId="2" fillId="12" borderId="41" xfId="0" applyFont="1" applyFill="1" applyBorder="1"/>
    <xf numFmtId="0" fontId="2" fillId="12" borderId="15" xfId="0" applyFont="1" applyFill="1" applyBorder="1"/>
    <xf numFmtId="0" fontId="2" fillId="12" borderId="14" xfId="0" applyFont="1" applyFill="1" applyBorder="1"/>
    <xf numFmtId="0" fontId="23" fillId="12" borderId="13" xfId="0" applyFont="1" applyFill="1" applyBorder="1"/>
    <xf numFmtId="0" fontId="23" fillId="10" borderId="11" xfId="0" applyFont="1" applyFill="1" applyBorder="1"/>
    <xf numFmtId="0" fontId="2" fillId="12" borderId="10" xfId="0" applyFont="1" applyFill="1" applyBorder="1" applyAlignment="1">
      <alignment horizontal="center"/>
    </xf>
    <xf numFmtId="0" fontId="2" fillId="12" borderId="9" xfId="0" applyFont="1" applyFill="1" applyBorder="1" applyAlignment="1">
      <alignment horizontal="center"/>
    </xf>
    <xf numFmtId="0" fontId="2" fillId="12" borderId="8" xfId="0" applyFont="1" applyFill="1" applyBorder="1"/>
    <xf numFmtId="0" fontId="0" fillId="0" borderId="0" xfId="0"/>
    <xf numFmtId="0" fontId="2" fillId="10" borderId="6" xfId="0" applyFont="1" applyFill="1" applyBorder="1" applyAlignment="1">
      <alignment horizontal="right"/>
    </xf>
    <xf numFmtId="0" fontId="2" fillId="10" borderId="12" xfId="0" applyFont="1" applyFill="1" applyBorder="1" applyAlignment="1">
      <alignment horizontal="right"/>
    </xf>
    <xf numFmtId="0" fontId="2" fillId="12" borderId="7" xfId="0" applyFont="1" applyFill="1" applyBorder="1"/>
    <xf numFmtId="0" fontId="2" fillId="12" borderId="39" xfId="0" applyFont="1" applyFill="1" applyBorder="1"/>
    <xf numFmtId="0" fontId="2" fillId="12" borderId="9" xfId="0" applyFont="1" applyFill="1" applyBorder="1"/>
    <xf numFmtId="0" fontId="2" fillId="12" borderId="10" xfId="0" applyFont="1" applyFill="1" applyBorder="1"/>
    <xf numFmtId="0" fontId="2" fillId="12" borderId="12" xfId="0" applyFont="1" applyFill="1" applyBorder="1"/>
    <xf numFmtId="0" fontId="2" fillId="12" borderId="47" xfId="0" applyFont="1" applyFill="1" applyBorder="1"/>
    <xf numFmtId="0" fontId="2" fillId="9" borderId="13" xfId="0" applyFont="1" applyFill="1" applyBorder="1"/>
    <xf numFmtId="0" fontId="2" fillId="9" borderId="14" xfId="0" applyFont="1" applyFill="1" applyBorder="1"/>
    <xf numFmtId="0" fontId="2" fillId="9" borderId="15" xfId="0" applyFont="1" applyFill="1" applyBorder="1"/>
    <xf numFmtId="0" fontId="2" fillId="10" borderId="8" xfId="0" applyFont="1" applyFill="1" applyBorder="1"/>
    <xf numFmtId="0" fontId="2" fillId="10" borderId="9" xfId="0" applyFont="1" applyFill="1" applyBorder="1"/>
    <xf numFmtId="0" fontId="2" fillId="10" borderId="10" xfId="0" applyFont="1" applyFill="1" applyBorder="1"/>
    <xf numFmtId="0" fontId="2" fillId="12" borderId="28" xfId="0" applyFont="1" applyFill="1" applyBorder="1"/>
    <xf numFmtId="0" fontId="2" fillId="12" borderId="33" xfId="0" applyFont="1" applyFill="1" applyBorder="1"/>
    <xf numFmtId="9" fontId="2" fillId="12" borderId="12" xfId="0" applyNumberFormat="1" applyFont="1" applyFill="1" applyBorder="1" applyAlignment="1">
      <alignment horizontal="center"/>
    </xf>
    <xf numFmtId="0" fontId="2" fillId="12" borderId="12" xfId="0" applyFont="1" applyFill="1" applyBorder="1" applyAlignment="1">
      <alignment horizontal="center"/>
    </xf>
    <xf numFmtId="9" fontId="2" fillId="12" borderId="15" xfId="0" applyNumberFormat="1" applyFont="1" applyFill="1" applyBorder="1" applyAlignment="1">
      <alignment horizontal="center"/>
    </xf>
    <xf numFmtId="0" fontId="2" fillId="12" borderId="6" xfId="0" applyFont="1" applyFill="1" applyBorder="1" applyAlignment="1">
      <alignment horizontal="center"/>
    </xf>
    <xf numFmtId="0" fontId="2" fillId="12" borderId="11" xfId="0" applyFont="1" applyFill="1" applyBorder="1" applyAlignment="1">
      <alignment horizontal="center"/>
    </xf>
    <xf numFmtId="0" fontId="2" fillId="12" borderId="13" xfId="0" applyFont="1" applyFill="1" applyBorder="1" applyAlignment="1">
      <alignment horizontal="center"/>
    </xf>
    <xf numFmtId="0" fontId="2" fillId="12" borderId="14" xfId="0" applyFont="1" applyFill="1" applyBorder="1" applyAlignment="1">
      <alignment horizontal="center"/>
    </xf>
    <xf numFmtId="10" fontId="2" fillId="12" borderId="48" xfId="0" applyNumberFormat="1" applyFont="1" applyFill="1" applyBorder="1"/>
    <xf numFmtId="10" fontId="2" fillId="12" borderId="12" xfId="0" applyNumberFormat="1" applyFont="1" applyFill="1" applyBorder="1"/>
    <xf numFmtId="9" fontId="2" fillId="12" borderId="12" xfId="0" applyNumberFormat="1" applyFont="1" applyFill="1" applyBorder="1"/>
    <xf numFmtId="10" fontId="2" fillId="12" borderId="15" xfId="0" applyNumberFormat="1" applyFont="1" applyFill="1" applyBorder="1"/>
    <xf numFmtId="9" fontId="2" fillId="12" borderId="6" xfId="0" applyNumberFormat="1" applyFont="1" applyFill="1" applyBorder="1" applyAlignment="1">
      <alignment horizontal="center"/>
    </xf>
    <xf numFmtId="10" fontId="2" fillId="12" borderId="6" xfId="0" applyNumberFormat="1" applyFont="1" applyFill="1" applyBorder="1" applyAlignment="1">
      <alignment horizontal="center"/>
    </xf>
    <xf numFmtId="10" fontId="2" fillId="12" borderId="12" xfId="0" applyNumberFormat="1" applyFont="1" applyFill="1" applyBorder="1" applyAlignment="1">
      <alignment horizontal="center"/>
    </xf>
    <xf numFmtId="9" fontId="2" fillId="12" borderId="14" xfId="0" applyNumberFormat="1" applyFont="1" applyFill="1" applyBorder="1" applyAlignment="1">
      <alignment horizontal="center"/>
    </xf>
    <xf numFmtId="10" fontId="2" fillId="12" borderId="14" xfId="0" applyNumberFormat="1" applyFont="1" applyFill="1" applyBorder="1" applyAlignment="1">
      <alignment horizontal="center"/>
    </xf>
    <xf numFmtId="10" fontId="2" fillId="12" borderId="38" xfId="0" applyNumberFormat="1" applyFont="1" applyFill="1" applyBorder="1" applyAlignment="1">
      <alignment horizontal="center"/>
    </xf>
    <xf numFmtId="10" fontId="2" fillId="12" borderId="32" xfId="0" applyNumberFormat="1" applyFont="1" applyFill="1" applyBorder="1" applyAlignment="1">
      <alignment horizontal="center"/>
    </xf>
    <xf numFmtId="10" fontId="2" fillId="12" borderId="46" xfId="0" applyNumberFormat="1" applyFont="1" applyFill="1" applyBorder="1"/>
    <xf numFmtId="0" fontId="2" fillId="11" borderId="41" xfId="0" applyFont="1" applyFill="1" applyBorder="1" applyAlignment="1">
      <alignment horizontal="center"/>
    </xf>
    <xf numFmtId="0" fontId="2" fillId="11" borderId="28" xfId="0" applyFont="1" applyFill="1" applyBorder="1" applyAlignment="1">
      <alignment horizontal="center"/>
    </xf>
    <xf numFmtId="0" fontId="2" fillId="11" borderId="48" xfId="0" applyFont="1" applyFill="1" applyBorder="1" applyAlignment="1">
      <alignment horizontal="center"/>
    </xf>
    <xf numFmtId="0" fontId="24" fillId="12" borderId="41" xfId="0" applyFont="1" applyFill="1" applyBorder="1" applyAlignment="1">
      <alignment horizontal="center"/>
    </xf>
    <xf numFmtId="0" fontId="24" fillId="12" borderId="28" xfId="0" applyFont="1" applyFill="1" applyBorder="1" applyAlignment="1">
      <alignment horizontal="center"/>
    </xf>
    <xf numFmtId="0" fontId="24" fillId="12" borderId="48" xfId="0" applyFont="1" applyFill="1" applyBorder="1" applyAlignment="1">
      <alignment horizontal="center"/>
    </xf>
    <xf numFmtId="0" fontId="24" fillId="12" borderId="11" xfId="0" applyFont="1" applyFill="1" applyBorder="1"/>
    <xf numFmtId="0" fontId="24" fillId="12" borderId="13" xfId="0" applyFont="1" applyFill="1" applyBorder="1"/>
    <xf numFmtId="0" fontId="23" fillId="12" borderId="8" xfId="0" applyFont="1" applyFill="1" applyBorder="1"/>
    <xf numFmtId="0" fontId="23" fillId="12" borderId="9" xfId="0" applyFont="1" applyFill="1" applyBorder="1"/>
    <xf numFmtId="0" fontId="23" fillId="12" borderId="10" xfId="0" applyFont="1" applyFill="1" applyBorder="1"/>
    <xf numFmtId="0" fontId="23" fillId="12" borderId="11" xfId="0" applyFont="1" applyFill="1" applyBorder="1" applyAlignment="1">
      <alignment horizontal="center"/>
    </xf>
    <xf numFmtId="0" fontId="28" fillId="12" borderId="11" xfId="0" applyFont="1" applyFill="1" applyBorder="1"/>
    <xf numFmtId="0" fontId="23" fillId="12" borderId="11" xfId="0" applyFont="1" applyFill="1" applyBorder="1" applyAlignment="1">
      <alignment horizontal="left" indent="2"/>
    </xf>
    <xf numFmtId="0" fontId="28" fillId="12" borderId="11" xfId="0" applyFont="1" applyFill="1" applyBorder="1" applyAlignment="1">
      <alignment horizontal="left"/>
    </xf>
    <xf numFmtId="0" fontId="29" fillId="12" borderId="11" xfId="2" applyFont="1" applyFill="1" applyBorder="1" applyAlignment="1">
      <alignment horizontal="left" indent="2"/>
    </xf>
    <xf numFmtId="0" fontId="30" fillId="12" borderId="11" xfId="2" applyFont="1" applyFill="1" applyBorder="1" applyAlignment="1">
      <alignment horizontal="left"/>
    </xf>
    <xf numFmtId="0" fontId="28" fillId="12" borderId="49" xfId="0" applyFont="1" applyFill="1" applyBorder="1"/>
    <xf numFmtId="0" fontId="23" fillId="12" borderId="49" xfId="0" applyFont="1" applyFill="1" applyBorder="1"/>
    <xf numFmtId="165" fontId="2" fillId="12" borderId="48" xfId="0" applyNumberFormat="1" applyFont="1" applyFill="1" applyBorder="1"/>
    <xf numFmtId="165" fontId="2" fillId="12" borderId="15" xfId="0" applyNumberFormat="1" applyFont="1" applyFill="1" applyBorder="1"/>
    <xf numFmtId="0" fontId="31" fillId="12" borderId="11" xfId="49" applyFont="1" applyFill="1" applyBorder="1"/>
    <xf numFmtId="0" fontId="31" fillId="12" borderId="13" xfId="49" applyFont="1" applyFill="1" applyBorder="1"/>
    <xf numFmtId="10" fontId="2" fillId="12" borderId="28" xfId="0" applyNumberFormat="1" applyFont="1" applyFill="1" applyBorder="1"/>
    <xf numFmtId="10" fontId="2" fillId="12" borderId="6" xfId="0" applyNumberFormat="1" applyFont="1" applyFill="1" applyBorder="1"/>
    <xf numFmtId="165" fontId="2" fillId="12" borderId="12" xfId="0" applyNumberFormat="1" applyFont="1" applyFill="1" applyBorder="1"/>
    <xf numFmtId="9" fontId="2" fillId="12" borderId="14" xfId="0" applyNumberFormat="1" applyFont="1" applyFill="1" applyBorder="1"/>
    <xf numFmtId="0" fontId="2" fillId="0" borderId="0" xfId="0" applyFont="1" applyBorder="1" applyAlignment="1"/>
    <xf numFmtId="0" fontId="2" fillId="9" borderId="7" xfId="0" applyFont="1" applyFill="1" applyBorder="1" applyAlignment="1">
      <alignment horizontal="center"/>
    </xf>
    <xf numFmtId="173" fontId="2" fillId="0" borderId="6" xfId="0" applyNumberFormat="1" applyFont="1" applyBorder="1"/>
    <xf numFmtId="8" fontId="2" fillId="0" borderId="6" xfId="0" applyNumberFormat="1" applyFont="1" applyBorder="1"/>
    <xf numFmtId="0" fontId="24" fillId="9" borderId="16" xfId="0" applyFont="1" applyFill="1" applyBorder="1" applyAlignment="1"/>
    <xf numFmtId="0" fontId="24" fillId="9" borderId="17" xfId="0" applyFont="1" applyFill="1" applyBorder="1" applyAlignment="1"/>
    <xf numFmtId="0" fontId="24" fillId="9" borderId="18" xfId="0" applyFont="1" applyFill="1" applyBorder="1" applyAlignment="1"/>
    <xf numFmtId="0" fontId="24" fillId="40" borderId="8" xfId="0" applyFont="1" applyFill="1" applyBorder="1" applyAlignment="1">
      <alignment horizontal="center"/>
    </xf>
    <xf numFmtId="0" fontId="24" fillId="40" borderId="9" xfId="0" applyFont="1" applyFill="1" applyBorder="1" applyAlignment="1">
      <alignment horizontal="center"/>
    </xf>
    <xf numFmtId="0" fontId="24" fillId="40" borderId="10" xfId="0" applyFont="1" applyFill="1" applyBorder="1" applyAlignment="1">
      <alignment horizontal="center"/>
    </xf>
    <xf numFmtId="9" fontId="2" fillId="41" borderId="11" xfId="0" applyNumberFormat="1" applyFont="1" applyFill="1" applyBorder="1"/>
    <xf numFmtId="173" fontId="2" fillId="12" borderId="6" xfId="47" applyNumberFormat="1" applyFont="1" applyFill="1" applyBorder="1"/>
    <xf numFmtId="173" fontId="2" fillId="12" borderId="12" xfId="47" applyNumberFormat="1" applyFont="1" applyFill="1" applyBorder="1"/>
    <xf numFmtId="173" fontId="24" fillId="12" borderId="14" xfId="47" applyNumberFormat="1" applyFont="1" applyFill="1" applyBorder="1"/>
    <xf numFmtId="173" fontId="24" fillId="12" borderId="15" xfId="47" applyNumberFormat="1" applyFont="1" applyFill="1" applyBorder="1"/>
    <xf numFmtId="174" fontId="2" fillId="0" borderId="6" xfId="0" applyNumberFormat="1" applyFont="1" applyBorder="1"/>
    <xf numFmtId="173" fontId="2" fillId="12" borderId="6" xfId="0" applyNumberFormat="1" applyFont="1" applyFill="1" applyBorder="1"/>
    <xf numFmtId="10" fontId="2" fillId="0" borderId="12" xfId="0" applyNumberFormat="1" applyFont="1" applyBorder="1"/>
    <xf numFmtId="174" fontId="2" fillId="0" borderId="11" xfId="0" applyNumberFormat="1" applyFont="1" applyBorder="1"/>
    <xf numFmtId="0" fontId="0" fillId="12" borderId="6" xfId="0" applyFill="1" applyBorder="1"/>
    <xf numFmtId="175" fontId="0" fillId="0" borderId="0" xfId="0" applyNumberFormat="1"/>
    <xf numFmtId="169" fontId="0" fillId="0" borderId="0" xfId="0" applyNumberFormat="1"/>
    <xf numFmtId="0" fontId="3" fillId="14" borderId="11" xfId="0" applyFont="1" applyFill="1" applyBorder="1"/>
    <xf numFmtId="10" fontId="3" fillId="14" borderId="6" xfId="0" applyNumberFormat="1" applyFont="1" applyFill="1" applyBorder="1"/>
    <xf numFmtId="1" fontId="3" fillId="14" borderId="6" xfId="0" applyNumberFormat="1" applyFont="1" applyFill="1" applyBorder="1"/>
    <xf numFmtId="9" fontId="3" fillId="14" borderId="12" xfId="0" applyNumberFormat="1" applyFont="1" applyFill="1" applyBorder="1"/>
    <xf numFmtId="0" fontId="2" fillId="14" borderId="0" xfId="0" applyFont="1" applyFill="1" applyBorder="1" applyAlignment="1">
      <alignment horizontal="center"/>
    </xf>
    <xf numFmtId="2" fontId="2" fillId="0" borderId="15" xfId="0" applyNumberFormat="1" applyFont="1" applyBorder="1"/>
    <xf numFmtId="0" fontId="2" fillId="42" borderId="8" xfId="0" applyFont="1" applyFill="1" applyBorder="1" applyAlignment="1">
      <alignment horizontal="center"/>
    </xf>
    <xf numFmtId="0" fontId="2" fillId="42" borderId="10" xfId="0" applyFont="1" applyFill="1" applyBorder="1" applyAlignment="1">
      <alignment horizontal="center"/>
    </xf>
    <xf numFmtId="0" fontId="2" fillId="11" borderId="39" xfId="0" applyFont="1" applyFill="1" applyBorder="1"/>
    <xf numFmtId="0" fontId="2" fillId="13" borderId="39" xfId="0" applyFont="1" applyFill="1" applyBorder="1"/>
    <xf numFmtId="0" fontId="2" fillId="0" borderId="0" xfId="0" applyFont="1" applyFill="1" applyBorder="1"/>
    <xf numFmtId="10" fontId="2" fillId="0" borderId="0" xfId="0" applyNumberFormat="1" applyFont="1" applyFill="1" applyBorder="1"/>
    <xf numFmtId="0" fontId="0" fillId="0" borderId="0" xfId="0" applyBorder="1"/>
    <xf numFmtId="0" fontId="2" fillId="14" borderId="6" xfId="0" applyFont="1" applyFill="1" applyBorder="1"/>
    <xf numFmtId="176" fontId="2" fillId="14" borderId="6" xfId="0" applyNumberFormat="1" applyFont="1" applyFill="1" applyBorder="1"/>
    <xf numFmtId="176" fontId="0" fillId="0" borderId="0" xfId="0" applyNumberFormat="1"/>
    <xf numFmtId="0" fontId="2" fillId="11" borderId="13" xfId="0" applyFont="1" applyFill="1" applyBorder="1"/>
    <xf numFmtId="0" fontId="2" fillId="10" borderId="13" xfId="0" applyFont="1" applyFill="1" applyBorder="1"/>
    <xf numFmtId="176" fontId="2" fillId="14" borderId="12" xfId="0" applyNumberFormat="1" applyFont="1" applyFill="1" applyBorder="1"/>
    <xf numFmtId="176" fontId="2" fillId="11" borderId="14" xfId="0" applyNumberFormat="1" applyFont="1" applyFill="1" applyBorder="1"/>
    <xf numFmtId="0" fontId="2" fillId="0" borderId="0" xfId="0" applyFont="1" applyFill="1" applyBorder="1" applyAlignment="1">
      <alignment horizontal="center"/>
    </xf>
    <xf numFmtId="0" fontId="0" fillId="0" borderId="0" xfId="0" applyFill="1" applyBorder="1"/>
    <xf numFmtId="0" fontId="2" fillId="11" borderId="8" xfId="0" applyFont="1" applyFill="1" applyBorder="1"/>
    <xf numFmtId="0" fontId="2" fillId="11" borderId="9" xfId="0" applyFont="1" applyFill="1" applyBorder="1"/>
    <xf numFmtId="0" fontId="2" fillId="11" borderId="10" xfId="0" applyFont="1" applyFill="1" applyBorder="1"/>
    <xf numFmtId="176" fontId="2" fillId="11" borderId="15" xfId="0" applyNumberFormat="1" applyFont="1" applyFill="1" applyBorder="1"/>
    <xf numFmtId="1" fontId="2" fillId="14" borderId="6" xfId="0" applyNumberFormat="1" applyFont="1" applyFill="1" applyBorder="1"/>
    <xf numFmtId="1" fontId="2" fillId="14" borderId="12" xfId="0" applyNumberFormat="1" applyFont="1" applyFill="1" applyBorder="1"/>
    <xf numFmtId="9" fontId="2" fillId="14" borderId="33" xfId="0" applyNumberFormat="1" applyFont="1" applyFill="1" applyBorder="1"/>
    <xf numFmtId="0" fontId="2" fillId="12" borderId="20" xfId="0" applyFont="1" applyFill="1" applyBorder="1"/>
    <xf numFmtId="170" fontId="3" fillId="14" borderId="6" xfId="0" applyNumberFormat="1" applyFont="1" applyFill="1" applyBorder="1"/>
    <xf numFmtId="0" fontId="3" fillId="12" borderId="9" xfId="0" applyFont="1" applyFill="1" applyBorder="1" applyAlignment="1">
      <alignment horizontal="center" vertical="center"/>
    </xf>
    <xf numFmtId="0" fontId="3" fillId="12" borderId="9" xfId="0" applyFont="1" applyFill="1" applyBorder="1" applyAlignment="1">
      <alignment horizontal="center" wrapText="1"/>
    </xf>
    <xf numFmtId="0" fontId="3" fillId="12" borderId="10" xfId="0" applyFont="1" applyFill="1" applyBorder="1" applyAlignment="1">
      <alignment horizontal="center" wrapText="1"/>
    </xf>
    <xf numFmtId="0" fontId="3" fillId="12" borderId="8" xfId="0" applyFont="1" applyFill="1" applyBorder="1" applyAlignment="1">
      <alignment horizontal="center" vertical="center"/>
    </xf>
    <xf numFmtId="170" fontId="2" fillId="14" borderId="11" xfId="0" applyNumberFormat="1" applyFont="1" applyFill="1" applyBorder="1" applyAlignment="1">
      <alignment horizontal="center"/>
    </xf>
    <xf numFmtId="170" fontId="2" fillId="14" borderId="12" xfId="0" applyNumberFormat="1" applyFont="1" applyFill="1" applyBorder="1" applyAlignment="1">
      <alignment horizontal="center"/>
    </xf>
    <xf numFmtId="170" fontId="2" fillId="0" borderId="11" xfId="0" applyNumberFormat="1" applyFont="1" applyBorder="1" applyAlignment="1">
      <alignment horizontal="center"/>
    </xf>
    <xf numFmtId="170" fontId="2" fillId="0" borderId="22" xfId="0" applyNumberFormat="1" applyFont="1" applyBorder="1" applyAlignment="1">
      <alignment horizontal="center"/>
    </xf>
    <xf numFmtId="170" fontId="2" fillId="14" borderId="13" xfId="0" applyNumberFormat="1" applyFont="1" applyFill="1" applyBorder="1" applyAlignment="1">
      <alignment horizontal="center"/>
    </xf>
    <xf numFmtId="170" fontId="2" fillId="14" borderId="15" xfId="0" applyNumberFormat="1" applyFont="1" applyFill="1" applyBorder="1" applyAlignment="1">
      <alignment horizontal="center"/>
    </xf>
    <xf numFmtId="170" fontId="2" fillId="0" borderId="27" xfId="0" applyNumberFormat="1" applyFont="1" applyBorder="1" applyAlignment="1">
      <alignment horizontal="center"/>
    </xf>
    <xf numFmtId="170" fontId="2" fillId="0" borderId="29" xfId="0" applyNumberFormat="1" applyFont="1" applyBorder="1" applyAlignment="1">
      <alignment horizontal="center"/>
    </xf>
    <xf numFmtId="170" fontId="2" fillId="0" borderId="12" xfId="0" applyNumberFormat="1" applyFont="1" applyBorder="1" applyAlignment="1">
      <alignment horizontal="center"/>
    </xf>
    <xf numFmtId="170" fontId="2" fillId="0" borderId="24" xfId="0" applyNumberFormat="1" applyFont="1" applyBorder="1" applyAlignment="1">
      <alignment horizontal="center"/>
    </xf>
    <xf numFmtId="170" fontId="2" fillId="0" borderId="30" xfId="0" applyNumberFormat="1" applyFont="1" applyBorder="1" applyAlignment="1">
      <alignment horizontal="center"/>
    </xf>
    <xf numFmtId="170" fontId="2" fillId="13" borderId="53" xfId="0" applyNumberFormat="1" applyFont="1" applyFill="1" applyBorder="1" applyAlignment="1">
      <alignment horizontal="center"/>
    </xf>
    <xf numFmtId="170" fontId="2" fillId="13" borderId="31" xfId="0" applyNumberFormat="1" applyFont="1" applyFill="1" applyBorder="1" applyAlignment="1">
      <alignment horizontal="center"/>
    </xf>
    <xf numFmtId="170" fontId="2" fillId="13" borderId="13" xfId="0" applyNumberFormat="1" applyFont="1" applyFill="1" applyBorder="1" applyAlignment="1">
      <alignment horizontal="center"/>
    </xf>
    <xf numFmtId="170" fontId="2" fillId="13" borderId="15" xfId="0" applyNumberFormat="1" applyFont="1" applyFill="1" applyBorder="1" applyAlignment="1">
      <alignment horizontal="center"/>
    </xf>
    <xf numFmtId="170" fontId="2" fillId="10" borderId="6" xfId="0" applyNumberFormat="1" applyFont="1" applyFill="1" applyBorder="1" applyAlignment="1">
      <alignment horizontal="right"/>
    </xf>
    <xf numFmtId="170" fontId="2" fillId="10" borderId="12" xfId="0" applyNumberFormat="1" applyFont="1" applyFill="1" applyBorder="1" applyAlignment="1">
      <alignment horizontal="right"/>
    </xf>
    <xf numFmtId="170" fontId="2" fillId="12" borderId="14" xfId="0" applyNumberFormat="1" applyFont="1" applyFill="1" applyBorder="1"/>
    <xf numFmtId="170" fontId="2" fillId="12" borderId="15" xfId="50" applyNumberFormat="1" applyFont="1" applyFill="1" applyBorder="1"/>
    <xf numFmtId="170" fontId="2" fillId="12" borderId="15" xfId="0" applyNumberFormat="1" applyFont="1" applyFill="1" applyBorder="1"/>
    <xf numFmtId="170" fontId="2" fillId="10" borderId="6" xfId="50" applyNumberFormat="1" applyFont="1" applyFill="1" applyBorder="1" applyAlignment="1">
      <alignment horizontal="right"/>
    </xf>
    <xf numFmtId="170" fontId="2" fillId="10" borderId="12" xfId="50" applyNumberFormat="1" applyFont="1" applyFill="1" applyBorder="1" applyAlignment="1">
      <alignment horizontal="right"/>
    </xf>
    <xf numFmtId="170" fontId="2" fillId="12" borderId="14" xfId="50" applyNumberFormat="1" applyFont="1" applyFill="1" applyBorder="1"/>
    <xf numFmtId="170" fontId="2" fillId="14" borderId="6" xfId="0" applyNumberFormat="1" applyFont="1" applyFill="1" applyBorder="1"/>
    <xf numFmtId="170" fontId="2" fillId="14" borderId="38" xfId="0" applyNumberFormat="1" applyFont="1" applyFill="1" applyBorder="1"/>
    <xf numFmtId="170" fontId="2" fillId="11" borderId="40" xfId="0" applyNumberFormat="1" applyFont="1" applyFill="1" applyBorder="1"/>
    <xf numFmtId="170" fontId="2" fillId="14" borderId="6" xfId="50" applyNumberFormat="1" applyFont="1" applyFill="1" applyBorder="1"/>
    <xf numFmtId="170" fontId="2" fillId="14" borderId="12" xfId="50" applyNumberFormat="1" applyFont="1" applyFill="1" applyBorder="1"/>
    <xf numFmtId="170" fontId="2" fillId="11" borderId="14" xfId="50" applyNumberFormat="1" applyFont="1" applyFill="1" applyBorder="1"/>
    <xf numFmtId="170" fontId="2" fillId="11" borderId="15" xfId="50" applyNumberFormat="1" applyFont="1" applyFill="1" applyBorder="1"/>
    <xf numFmtId="170" fontId="2" fillId="10" borderId="14" xfId="50" applyNumberFormat="1" applyFont="1" applyFill="1" applyBorder="1"/>
    <xf numFmtId="170" fontId="2" fillId="10" borderId="15" xfId="50" applyNumberFormat="1" applyFont="1" applyFill="1" applyBorder="1"/>
    <xf numFmtId="0" fontId="2" fillId="12" borderId="48" xfId="0" applyFont="1" applyFill="1" applyBorder="1"/>
    <xf numFmtId="170" fontId="2" fillId="12" borderId="6" xfId="50" applyNumberFormat="1" applyFont="1" applyFill="1" applyBorder="1"/>
    <xf numFmtId="170" fontId="2" fillId="14" borderId="33" xfId="50" applyNumberFormat="1" applyFont="1" applyFill="1" applyBorder="1"/>
    <xf numFmtId="0" fontId="2" fillId="12" borderId="11" xfId="0" applyFont="1" applyFill="1" applyBorder="1" applyAlignment="1">
      <alignment wrapText="1"/>
    </xf>
    <xf numFmtId="0" fontId="2" fillId="10" borderId="14" xfId="0" applyFont="1" applyFill="1" applyBorder="1"/>
    <xf numFmtId="0" fontId="2" fillId="10" borderId="7" xfId="0" applyFont="1" applyFill="1" applyBorder="1"/>
    <xf numFmtId="0" fontId="2" fillId="14" borderId="6" xfId="50" applyNumberFormat="1" applyFont="1" applyFill="1" applyBorder="1"/>
    <xf numFmtId="170" fontId="2" fillId="14" borderId="28" xfId="50" applyNumberFormat="1" applyFont="1" applyFill="1" applyBorder="1"/>
    <xf numFmtId="0" fontId="2" fillId="12" borderId="11" xfId="0" applyFont="1" applyFill="1" applyBorder="1" applyAlignment="1">
      <alignment horizontal="left"/>
    </xf>
    <xf numFmtId="1" fontId="2" fillId="12" borderId="41" xfId="0" applyNumberFormat="1" applyFont="1" applyFill="1" applyBorder="1" applyAlignment="1" applyProtection="1">
      <alignment horizontal="left"/>
      <protection hidden="1"/>
    </xf>
    <xf numFmtId="170" fontId="2" fillId="14" borderId="48" xfId="50" applyNumberFormat="1" applyFont="1" applyFill="1" applyBorder="1"/>
    <xf numFmtId="0" fontId="24" fillId="10" borderId="13" xfId="0" applyFont="1" applyFill="1" applyBorder="1"/>
    <xf numFmtId="0" fontId="23" fillId="10" borderId="13" xfId="0" applyFont="1" applyFill="1" applyBorder="1"/>
    <xf numFmtId="170" fontId="23" fillId="10" borderId="14" xfId="0" applyNumberFormat="1" applyFont="1" applyFill="1" applyBorder="1"/>
    <xf numFmtId="170" fontId="23" fillId="10" borderId="15" xfId="0" applyNumberFormat="1" applyFont="1" applyFill="1" applyBorder="1"/>
    <xf numFmtId="0" fontId="28" fillId="10" borderId="11" xfId="0" applyFont="1" applyFill="1" applyBorder="1" applyAlignment="1">
      <alignment horizontal="left"/>
    </xf>
    <xf numFmtId="170" fontId="28" fillId="10" borderId="6" xfId="0" applyNumberFormat="1" applyFont="1" applyFill="1" applyBorder="1"/>
    <xf numFmtId="170" fontId="28" fillId="10" borderId="12" xfId="0" applyNumberFormat="1" applyFont="1" applyFill="1" applyBorder="1"/>
    <xf numFmtId="0" fontId="30" fillId="10" borderId="11" xfId="2" applyFont="1" applyFill="1" applyBorder="1" applyAlignment="1">
      <alignment horizontal="left"/>
    </xf>
    <xf numFmtId="0" fontId="29" fillId="10" borderId="11" xfId="2" applyFont="1" applyFill="1" applyBorder="1" applyAlignment="1">
      <alignment horizontal="left" indent="2"/>
    </xf>
    <xf numFmtId="170" fontId="23" fillId="14" borderId="6" xfId="0" applyNumberFormat="1" applyFont="1" applyFill="1" applyBorder="1"/>
    <xf numFmtId="170" fontId="23" fillId="14" borderId="12" xfId="0" applyNumberFormat="1" applyFont="1" applyFill="1" applyBorder="1"/>
    <xf numFmtId="170" fontId="28" fillId="14" borderId="6" xfId="0" applyNumberFormat="1" applyFont="1" applyFill="1" applyBorder="1"/>
    <xf numFmtId="170" fontId="28" fillId="14" borderId="12" xfId="0" applyNumberFormat="1" applyFont="1" applyFill="1" applyBorder="1"/>
    <xf numFmtId="170" fontId="23" fillId="14" borderId="6" xfId="1" applyNumberFormat="1" applyFont="1" applyFill="1" applyBorder="1"/>
    <xf numFmtId="166" fontId="23" fillId="14" borderId="6" xfId="0" applyNumberFormat="1" applyFont="1" applyFill="1" applyBorder="1"/>
    <xf numFmtId="0" fontId="23" fillId="14" borderId="0" xfId="0" applyFont="1" applyFill="1" applyBorder="1"/>
    <xf numFmtId="0" fontId="23" fillId="14" borderId="50" xfId="0" applyFont="1" applyFill="1" applyBorder="1"/>
    <xf numFmtId="169" fontId="2" fillId="14" borderId="6" xfId="0" applyNumberFormat="1" applyFont="1" applyFill="1" applyBorder="1"/>
    <xf numFmtId="169" fontId="2" fillId="14" borderId="12" xfId="0" applyNumberFormat="1" applyFont="1" applyFill="1" applyBorder="1"/>
    <xf numFmtId="169" fontId="24" fillId="14" borderId="6" xfId="0" applyNumberFormat="1" applyFont="1" applyFill="1" applyBorder="1"/>
    <xf numFmtId="169" fontId="24" fillId="14" borderId="12" xfId="0" applyNumberFormat="1" applyFont="1" applyFill="1" applyBorder="1"/>
    <xf numFmtId="169" fontId="24" fillId="10" borderId="14" xfId="0" applyNumberFormat="1" applyFont="1" applyFill="1" applyBorder="1"/>
    <xf numFmtId="169" fontId="24" fillId="10" borderId="15" xfId="0" applyNumberFormat="1" applyFont="1" applyFill="1" applyBorder="1"/>
    <xf numFmtId="165" fontId="2" fillId="14" borderId="48" xfId="0" applyNumberFormat="1" applyFont="1" applyFill="1" applyBorder="1"/>
    <xf numFmtId="171" fontId="2" fillId="14" borderId="12" xfId="0" applyNumberFormat="1" applyFont="1" applyFill="1" applyBorder="1"/>
    <xf numFmtId="172" fontId="2" fillId="14" borderId="15" xfId="0" applyNumberFormat="1" applyFont="1" applyFill="1" applyBorder="1"/>
    <xf numFmtId="164" fontId="31" fillId="14" borderId="12" xfId="49" applyNumberFormat="1" applyFont="1" applyFill="1" applyBorder="1"/>
    <xf numFmtId="172" fontId="31" fillId="14" borderId="15" xfId="49" applyNumberFormat="1" applyFont="1" applyFill="1" applyBorder="1" applyAlignment="1">
      <alignment horizontal="center"/>
    </xf>
    <xf numFmtId="177" fontId="2" fillId="12" borderId="15" xfId="47" applyNumberFormat="1" applyFont="1" applyFill="1" applyBorder="1"/>
    <xf numFmtId="170" fontId="2" fillId="14" borderId="32" xfId="50" applyNumberFormat="1" applyFont="1" applyFill="1" applyBorder="1"/>
    <xf numFmtId="0" fontId="2" fillId="12" borderId="51" xfId="0" applyFont="1" applyFill="1" applyBorder="1"/>
    <xf numFmtId="9" fontId="2" fillId="14" borderId="52" xfId="0" applyNumberFormat="1" applyFont="1" applyFill="1" applyBorder="1"/>
    <xf numFmtId="0" fontId="2" fillId="42" borderId="16" xfId="0" applyFont="1" applyFill="1" applyBorder="1" applyAlignment="1">
      <alignment horizontal="center"/>
    </xf>
    <xf numFmtId="0" fontId="2" fillId="42" borderId="17" xfId="0" applyFont="1" applyFill="1" applyBorder="1" applyAlignment="1">
      <alignment horizontal="center"/>
    </xf>
    <xf numFmtId="0" fontId="2" fillId="42" borderId="18" xfId="0" applyFont="1" applyFill="1" applyBorder="1" applyAlignment="1">
      <alignment horizontal="center"/>
    </xf>
    <xf numFmtId="0" fontId="2" fillId="11" borderId="25" xfId="0" applyFont="1" applyFill="1" applyBorder="1" applyAlignment="1">
      <alignment horizontal="center"/>
    </xf>
    <xf numFmtId="0" fontId="2" fillId="11" borderId="26" xfId="0" applyFont="1" applyFill="1" applyBorder="1" applyAlignment="1">
      <alignment horizontal="center"/>
    </xf>
    <xf numFmtId="0" fontId="2" fillId="11" borderId="37" xfId="0" applyFont="1" applyFill="1" applyBorder="1" applyAlignment="1">
      <alignment horizontal="center"/>
    </xf>
    <xf numFmtId="0" fontId="2" fillId="11" borderId="20" xfId="0" applyFont="1" applyFill="1" applyBorder="1" applyAlignment="1">
      <alignment horizontal="center"/>
    </xf>
    <xf numFmtId="0" fontId="2" fillId="11" borderId="23" xfId="0" applyFont="1" applyFill="1" applyBorder="1" applyAlignment="1">
      <alignment horizontal="center"/>
    </xf>
    <xf numFmtId="0" fontId="2" fillId="11" borderId="19" xfId="0" applyFont="1" applyFill="1" applyBorder="1" applyAlignment="1">
      <alignment horizontal="center"/>
    </xf>
    <xf numFmtId="0" fontId="2" fillId="10" borderId="16" xfId="0" applyFont="1" applyFill="1" applyBorder="1" applyAlignment="1">
      <alignment horizontal="center"/>
    </xf>
    <xf numFmtId="0" fontId="2" fillId="10" borderId="17" xfId="0" applyFont="1" applyFill="1" applyBorder="1" applyAlignment="1">
      <alignment horizontal="center"/>
    </xf>
    <xf numFmtId="0" fontId="2" fillId="10" borderId="18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10" borderId="20" xfId="0" applyFont="1" applyFill="1" applyBorder="1" applyAlignment="1">
      <alignment horizontal="center"/>
    </xf>
    <xf numFmtId="0" fontId="2" fillId="10" borderId="19" xfId="0" applyFont="1" applyFill="1" applyBorder="1" applyAlignment="1">
      <alignment horizontal="center"/>
    </xf>
    <xf numFmtId="0" fontId="2" fillId="10" borderId="23" xfId="0" applyFont="1" applyFill="1" applyBorder="1" applyAlignment="1">
      <alignment horizontal="center"/>
    </xf>
    <xf numFmtId="0" fontId="2" fillId="11" borderId="16" xfId="0" applyFont="1" applyFill="1" applyBorder="1" applyAlignment="1">
      <alignment horizontal="center"/>
    </xf>
    <xf numFmtId="0" fontId="2" fillId="11" borderId="17" xfId="0" applyFont="1" applyFill="1" applyBorder="1" applyAlignment="1">
      <alignment horizontal="center"/>
    </xf>
    <xf numFmtId="0" fontId="2" fillId="11" borderId="18" xfId="0" applyFont="1" applyFill="1" applyBorder="1" applyAlignment="1">
      <alignment horizontal="center"/>
    </xf>
    <xf numFmtId="0" fontId="2" fillId="9" borderId="39" xfId="0" applyFont="1" applyFill="1" applyBorder="1" applyAlignment="1">
      <alignment horizontal="center"/>
    </xf>
    <xf numFmtId="0" fontId="2" fillId="9" borderId="40" xfId="0" applyFont="1" applyFill="1" applyBorder="1" applyAlignment="1">
      <alignment horizontal="center"/>
    </xf>
    <xf numFmtId="0" fontId="2" fillId="9" borderId="46" xfId="0" applyFont="1" applyFill="1" applyBorder="1" applyAlignment="1">
      <alignment horizontal="center"/>
    </xf>
    <xf numFmtId="0" fontId="2" fillId="9" borderId="20" xfId="0" applyFont="1" applyFill="1" applyBorder="1" applyAlignment="1">
      <alignment horizontal="center"/>
    </xf>
    <xf numFmtId="0" fontId="2" fillId="9" borderId="23" xfId="0" applyFont="1" applyFill="1" applyBorder="1" applyAlignment="1">
      <alignment horizontal="center"/>
    </xf>
    <xf numFmtId="0" fontId="2" fillId="9" borderId="19" xfId="0" applyFont="1" applyFill="1" applyBorder="1" applyAlignment="1">
      <alignment horizontal="center"/>
    </xf>
    <xf numFmtId="0" fontId="2" fillId="9" borderId="16" xfId="0" applyFont="1" applyFill="1" applyBorder="1" applyAlignment="1">
      <alignment horizontal="center"/>
    </xf>
    <xf numFmtId="0" fontId="2" fillId="9" borderId="18" xfId="0" applyFont="1" applyFill="1" applyBorder="1" applyAlignment="1">
      <alignment horizontal="center"/>
    </xf>
    <xf numFmtId="0" fontId="2" fillId="9" borderId="8" xfId="0" applyFont="1" applyFill="1" applyBorder="1" applyAlignment="1">
      <alignment horizontal="center"/>
    </xf>
    <xf numFmtId="0" fontId="2" fillId="9" borderId="28" xfId="0" applyFont="1" applyFill="1" applyBorder="1" applyAlignment="1">
      <alignment horizontal="center"/>
    </xf>
    <xf numFmtId="0" fontId="2" fillId="9" borderId="48" xfId="0" applyFont="1" applyFill="1" applyBorder="1" applyAlignment="1">
      <alignment horizontal="center"/>
    </xf>
    <xf numFmtId="0" fontId="23" fillId="10" borderId="39" xfId="0" applyFont="1" applyFill="1" applyBorder="1" applyAlignment="1">
      <alignment horizontal="center"/>
    </xf>
    <xf numFmtId="0" fontId="23" fillId="10" borderId="40" xfId="0" applyFont="1" applyFill="1" applyBorder="1" applyAlignment="1">
      <alignment horizontal="center"/>
    </xf>
    <xf numFmtId="0" fontId="23" fillId="10" borderId="46" xfId="0" applyFont="1" applyFill="1" applyBorder="1" applyAlignment="1">
      <alignment horizontal="center"/>
    </xf>
    <xf numFmtId="0" fontId="27" fillId="10" borderId="16" xfId="0" applyFont="1" applyFill="1" applyBorder="1" applyAlignment="1">
      <alignment horizontal="center"/>
    </xf>
    <xf numFmtId="0" fontId="27" fillId="10" borderId="17" xfId="0" applyFont="1" applyFill="1" applyBorder="1" applyAlignment="1">
      <alignment horizontal="center"/>
    </xf>
    <xf numFmtId="0" fontId="27" fillId="10" borderId="18" xfId="0" applyFont="1" applyFill="1" applyBorder="1" applyAlignment="1">
      <alignment horizontal="center"/>
    </xf>
    <xf numFmtId="0" fontId="27" fillId="14" borderId="0" xfId="48" applyFont="1" applyFill="1" applyBorder="1" applyAlignment="1">
      <alignment horizontal="left" vertical="center" wrapText="1"/>
    </xf>
    <xf numFmtId="0" fontId="2" fillId="10" borderId="39" xfId="0" applyFont="1" applyFill="1" applyBorder="1" applyAlignment="1">
      <alignment horizontal="center"/>
    </xf>
    <xf numFmtId="0" fontId="2" fillId="10" borderId="46" xfId="0" applyFont="1" applyFill="1" applyBorder="1" applyAlignment="1">
      <alignment horizontal="center"/>
    </xf>
    <xf numFmtId="0" fontId="2" fillId="9" borderId="17" xfId="0" applyFont="1" applyFill="1" applyBorder="1" applyAlignment="1">
      <alignment horizontal="center"/>
    </xf>
    <xf numFmtId="0" fontId="2" fillId="10" borderId="8" xfId="0" applyFont="1" applyFill="1" applyBorder="1" applyAlignment="1">
      <alignment horizontal="center"/>
    </xf>
    <xf numFmtId="0" fontId="2" fillId="10" borderId="10" xfId="0" applyFont="1" applyFill="1" applyBorder="1" applyAlignment="1">
      <alignment horizontal="center"/>
    </xf>
    <xf numFmtId="0" fontId="31" fillId="10" borderId="8" xfId="49" applyFont="1" applyFill="1" applyBorder="1" applyAlignment="1">
      <alignment horizontal="center"/>
    </xf>
    <xf numFmtId="0" fontId="31" fillId="10" borderId="10" xfId="49" applyFont="1" applyFill="1" applyBorder="1" applyAlignment="1">
      <alignment horizontal="center"/>
    </xf>
    <xf numFmtId="0" fontId="2" fillId="14" borderId="0" xfId="0" applyFont="1" applyFill="1" applyBorder="1" applyAlignment="1">
      <alignment horizontal="center"/>
    </xf>
    <xf numFmtId="0" fontId="24" fillId="14" borderId="0" xfId="0" applyFont="1" applyFill="1" applyBorder="1"/>
    <xf numFmtId="0" fontId="23" fillId="14" borderId="0" xfId="0" applyFont="1" applyFill="1" applyBorder="1" applyAlignment="1">
      <alignment horizontal="center"/>
    </xf>
    <xf numFmtId="0" fontId="23" fillId="14" borderId="0" xfId="0" applyFont="1" applyFill="1" applyBorder="1" applyAlignment="1">
      <alignment horizontal="center"/>
    </xf>
    <xf numFmtId="170" fontId="23" fillId="14" borderId="0" xfId="0" applyNumberFormat="1" applyFont="1" applyFill="1" applyBorder="1"/>
    <xf numFmtId="0" fontId="28" fillId="14" borderId="0" xfId="0" applyFont="1" applyFill="1" applyBorder="1"/>
    <xf numFmtId="170" fontId="28" fillId="14" borderId="0" xfId="0" applyNumberFormat="1" applyFont="1" applyFill="1" applyBorder="1"/>
    <xf numFmtId="0" fontId="23" fillId="14" borderId="0" xfId="0" applyFont="1" applyFill="1" applyBorder="1" applyAlignment="1">
      <alignment horizontal="left" indent="2"/>
    </xf>
    <xf numFmtId="0" fontId="28" fillId="14" borderId="0" xfId="0" applyFont="1" applyFill="1" applyBorder="1" applyAlignment="1">
      <alignment horizontal="left"/>
    </xf>
    <xf numFmtId="170" fontId="23" fillId="14" borderId="0" xfId="1" applyNumberFormat="1" applyFont="1" applyFill="1" applyBorder="1"/>
    <xf numFmtId="0" fontId="29" fillId="14" borderId="0" xfId="2" applyFont="1" applyFill="1" applyBorder="1" applyAlignment="1">
      <alignment horizontal="left" indent="2"/>
    </xf>
    <xf numFmtId="166" fontId="23" fillId="14" borderId="0" xfId="0" applyNumberFormat="1" applyFont="1" applyFill="1" applyBorder="1"/>
    <xf numFmtId="0" fontId="30" fillId="14" borderId="0" xfId="2" applyFont="1" applyFill="1" applyBorder="1" applyAlignment="1">
      <alignment horizontal="left"/>
    </xf>
    <xf numFmtId="0" fontId="24" fillId="10" borderId="6" xfId="0" applyFont="1" applyFill="1" applyBorder="1"/>
    <xf numFmtId="0" fontId="2" fillId="10" borderId="6" xfId="0" applyFont="1" applyFill="1" applyBorder="1"/>
    <xf numFmtId="0" fontId="2" fillId="14" borderId="6" xfId="0" applyFont="1" applyFill="1" applyBorder="1" applyAlignment="1">
      <alignment horizontal="left"/>
    </xf>
    <xf numFmtId="0" fontId="2" fillId="14" borderId="6" xfId="0" applyFont="1" applyFill="1" applyBorder="1" applyAlignment="1">
      <alignment horizontal="center"/>
    </xf>
    <xf numFmtId="1" fontId="2" fillId="14" borderId="28" xfId="0" applyNumberFormat="1" applyFont="1" applyFill="1" applyBorder="1" applyAlignment="1" applyProtection="1">
      <alignment horizontal="left"/>
      <protection hidden="1"/>
    </xf>
    <xf numFmtId="0" fontId="2" fillId="14" borderId="28" xfId="0" applyFont="1" applyFill="1" applyBorder="1"/>
    <xf numFmtId="0" fontId="24" fillId="14" borderId="6" xfId="0" applyFont="1" applyFill="1" applyBorder="1"/>
    <xf numFmtId="169" fontId="24" fillId="14" borderId="0" xfId="0" applyNumberFormat="1" applyFont="1" applyFill="1" applyBorder="1"/>
    <xf numFmtId="0" fontId="27" fillId="14" borderId="0" xfId="0" applyFont="1" applyFill="1" applyBorder="1" applyAlignment="1">
      <alignment horizontal="center"/>
    </xf>
    <xf numFmtId="0" fontId="24" fillId="14" borderId="0" xfId="0" applyFont="1" applyFill="1" applyBorder="1" applyAlignment="1">
      <alignment horizontal="center"/>
    </xf>
    <xf numFmtId="169" fontId="2" fillId="14" borderId="0" xfId="0" applyNumberFormat="1" applyFont="1" applyFill="1" applyBorder="1"/>
    <xf numFmtId="0" fontId="0" fillId="14" borderId="0" xfId="0" applyFill="1" applyBorder="1"/>
    <xf numFmtId="9" fontId="2" fillId="14" borderId="0" xfId="0" applyNumberFormat="1" applyFont="1" applyFill="1" applyBorder="1"/>
    <xf numFmtId="1" fontId="2" fillId="14" borderId="0" xfId="0" applyNumberFormat="1" applyFont="1" applyFill="1" applyBorder="1"/>
    <xf numFmtId="165" fontId="2" fillId="14" borderId="0" xfId="0" applyNumberFormat="1" applyFont="1" applyFill="1" applyBorder="1"/>
    <xf numFmtId="171" fontId="2" fillId="14" borderId="0" xfId="0" applyNumberFormat="1" applyFont="1" applyFill="1" applyBorder="1"/>
    <xf numFmtId="172" fontId="2" fillId="14" borderId="0" xfId="0" applyNumberFormat="1" applyFont="1" applyFill="1" applyBorder="1"/>
    <xf numFmtId="0" fontId="31" fillId="14" borderId="0" xfId="49" applyFont="1" applyFill="1" applyBorder="1" applyAlignment="1">
      <alignment horizontal="center"/>
    </xf>
    <xf numFmtId="0" fontId="31" fillId="14" borderId="0" xfId="49" applyFont="1" applyFill="1" applyBorder="1"/>
    <xf numFmtId="164" fontId="31" fillId="14" borderId="0" xfId="49" applyNumberFormat="1" applyFont="1" applyFill="1" applyBorder="1"/>
    <xf numFmtId="172" fontId="31" fillId="14" borderId="0" xfId="49" applyNumberFormat="1" applyFont="1" applyFill="1" applyBorder="1" applyAlignment="1">
      <alignment horizontal="center"/>
    </xf>
  </cellXfs>
  <cellStyles count="51">
    <cellStyle name="20% - 强调文字颜色 1" xfId="3"/>
    <cellStyle name="20% - 强调文字颜色 2" xfId="4"/>
    <cellStyle name="20% - 强调文字颜色 3" xfId="5"/>
    <cellStyle name="20% - 强调文字颜色 4" xfId="6"/>
    <cellStyle name="20% - 强调文字颜色 5" xfId="7"/>
    <cellStyle name="20% - 强调文字颜色 6" xfId="8"/>
    <cellStyle name="40% - 强调文字颜色 1" xfId="9"/>
    <cellStyle name="40% - 强调文字颜色 2" xfId="10"/>
    <cellStyle name="40% - 强调文字颜色 3" xfId="11"/>
    <cellStyle name="40% - 强调文字颜色 4" xfId="12"/>
    <cellStyle name="40% - 强调文字颜色 5" xfId="13"/>
    <cellStyle name="40% - 强调文字颜色 6" xfId="14"/>
    <cellStyle name="60% - 强调文字颜色 1" xfId="15"/>
    <cellStyle name="60% - 强调文字颜色 2" xfId="16"/>
    <cellStyle name="60% - 强调文字颜色 3" xfId="17"/>
    <cellStyle name="60% - 强调文字颜色 4" xfId="18"/>
    <cellStyle name="60% - 强调文字颜色 5" xfId="19"/>
    <cellStyle name="60% - 强调文字颜色 6" xfId="20"/>
    <cellStyle name="Énfasis5" xfId="49" builtinId="45"/>
    <cellStyle name="Millares" xfId="47" builtinId="3"/>
    <cellStyle name="Millares 2" xfId="46"/>
    <cellStyle name="Moneda" xfId="50" builtinId="4"/>
    <cellStyle name="Moneda 2" xfId="45"/>
    <cellStyle name="Moneda 3" xfId="1"/>
    <cellStyle name="Normal" xfId="0" builtinId="0"/>
    <cellStyle name="Normal 2" xfId="2"/>
    <cellStyle name="Normal 3" xfId="44"/>
    <cellStyle name="Salida" xfId="48" builtinId="21"/>
    <cellStyle name="好" xfId="21"/>
    <cellStyle name="差" xfId="22"/>
    <cellStyle name="强调文字颜色 1" xfId="23"/>
    <cellStyle name="强调文字颜色 2" xfId="24"/>
    <cellStyle name="强调文字颜色 3" xfId="25"/>
    <cellStyle name="强调文字颜色 4" xfId="26"/>
    <cellStyle name="强调文字颜色 5" xfId="27"/>
    <cellStyle name="强调文字颜色 6" xfId="28"/>
    <cellStyle name="标题" xfId="29"/>
    <cellStyle name="标题 1" xfId="30"/>
    <cellStyle name="标题 2" xfId="31"/>
    <cellStyle name="标题 3" xfId="32"/>
    <cellStyle name="标题 4" xfId="33"/>
    <cellStyle name="检查单元格" xfId="34"/>
    <cellStyle name="汇总" xfId="35"/>
    <cellStyle name="注释" xfId="36"/>
    <cellStyle name="解释性文本" xfId="37"/>
    <cellStyle name="警告文本" xfId="38"/>
    <cellStyle name="计算" xfId="39"/>
    <cellStyle name="输入" xfId="40"/>
    <cellStyle name="输出" xfId="41"/>
    <cellStyle name="适中" xfId="42"/>
    <cellStyle name="链接单元格" xfId="43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INGRESOS POR VENTAS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INGRESOS!$E$6</c:f>
              <c:strCache>
                <c:ptCount val="1"/>
                <c:pt idx="0">
                  <c:v>AÑO</c:v>
                </c:pt>
              </c:strCache>
            </c:strRef>
          </c:tx>
          <c:explosion val="25"/>
          <c:val>
            <c:numRef>
              <c:f>INGRESOS!$F$6:$I$6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val>
        </c:ser>
        <c:ser>
          <c:idx val="1"/>
          <c:order val="1"/>
          <c:tx>
            <c:strRef>
              <c:f>INGRESOS!$E$7</c:f>
              <c:strCache>
                <c:ptCount val="1"/>
                <c:pt idx="0">
                  <c:v>UNIDADES POR AÑO</c:v>
                </c:pt>
              </c:strCache>
            </c:strRef>
          </c:tx>
          <c:explosion val="25"/>
          <c:val>
            <c:numRef>
              <c:f>INGRESOS!$F$7:$I$7</c:f>
              <c:numCache>
                <c:formatCode>0</c:formatCode>
                <c:ptCount val="4"/>
                <c:pt idx="0">
                  <c:v>6117.6</c:v>
                </c:pt>
                <c:pt idx="1">
                  <c:v>6922.67616</c:v>
                </c:pt>
                <c:pt idx="2">
                  <c:v>7833.7003426560004</c:v>
                </c:pt>
                <c:pt idx="3">
                  <c:v>8864.6153077495292</c:v>
                </c:pt>
              </c:numCache>
            </c:numRef>
          </c:val>
        </c:ser>
        <c:ser>
          <c:idx val="2"/>
          <c:order val="2"/>
          <c:tx>
            <c:strRef>
              <c:f>INGRESOS!$E$8</c:f>
              <c:strCache>
                <c:ptCount val="1"/>
                <c:pt idx="0">
                  <c:v>INGRESOS TOTALES</c:v>
                </c:pt>
              </c:strCache>
            </c:strRef>
          </c:tx>
          <c:explosion val="25"/>
          <c:val>
            <c:numRef>
              <c:f>INGRESOS!$F$8:$I$8</c:f>
              <c:numCache>
                <c:formatCode>_-[$$-240A]\ * #,##0.00_ ;_-[$$-240A]\ * \-#,##0.00\ ;_-[$$-240A]\ * "-"??_ ;_-@_ </c:formatCode>
                <c:ptCount val="4"/>
                <c:pt idx="0">
                  <c:v>367056000</c:v>
                </c:pt>
                <c:pt idx="1">
                  <c:v>436128598.07999998</c:v>
                </c:pt>
                <c:pt idx="2">
                  <c:v>518199277.6666944</c:v>
                </c:pt>
                <c:pt idx="3">
                  <c:v>615714017.73801291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xVal>
            <c:numRef>
              <c:f>'VPN,TIR,TIO,ZA,DF'!$E$70:$E$72</c:f>
              <c:numCache>
                <c:formatCode>0.00%</c:formatCode>
                <c:ptCount val="3"/>
                <c:pt idx="0">
                  <c:v>0</c:v>
                </c:pt>
                <c:pt idx="1">
                  <c:v>0.15000000000000002</c:v>
                </c:pt>
                <c:pt idx="2" formatCode="0%">
                  <c:v>0</c:v>
                </c:pt>
              </c:numCache>
            </c:numRef>
          </c:xVal>
          <c:yVal>
            <c:numRef>
              <c:f>'VPN,TIR,TIO,ZA,DF'!$F$70:$F$72</c:f>
              <c:numCache>
                <c:formatCode>"$"\ #,##0.00_);[Red]\("$"\ #,##0.00\)</c:formatCode>
                <c:ptCount val="3"/>
                <c:pt idx="0">
                  <c:v>800213830.62370658</c:v>
                </c:pt>
                <c:pt idx="1">
                  <c:v>778902666.30666506</c:v>
                </c:pt>
                <c:pt idx="2">
                  <c:v>800213830.62370658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811456"/>
        <c:axId val="135812992"/>
      </c:scatterChart>
      <c:valAx>
        <c:axId val="135811456"/>
        <c:scaling>
          <c:orientation val="minMax"/>
        </c:scaling>
        <c:delete val="0"/>
        <c:axPos val="b"/>
        <c:numFmt formatCode="0.00%" sourceLinked="1"/>
        <c:majorTickMark val="out"/>
        <c:minorTickMark val="none"/>
        <c:tickLblPos val="nextTo"/>
        <c:crossAx val="135812992"/>
        <c:crosses val="autoZero"/>
        <c:crossBetween val="midCat"/>
      </c:valAx>
      <c:valAx>
        <c:axId val="135812992"/>
        <c:scaling>
          <c:orientation val="minMax"/>
        </c:scaling>
        <c:delete val="0"/>
        <c:axPos val="l"/>
        <c:majorGridlines/>
        <c:numFmt formatCode="&quot;$&quot;\ #,##0.00_);[Red]\(&quot;$&quot;\ #,##0.00\)" sourceLinked="1"/>
        <c:majorTickMark val="out"/>
        <c:minorTickMark val="none"/>
        <c:tickLblPos val="nextTo"/>
        <c:crossAx val="13581145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8</xdr:row>
      <xdr:rowOff>180975</xdr:rowOff>
    </xdr:from>
    <xdr:to>
      <xdr:col>9</xdr:col>
      <xdr:colOff>409575</xdr:colOff>
      <xdr:row>12</xdr:row>
      <xdr:rowOff>152400</xdr:rowOff>
    </xdr:to>
    <xdr:sp macro="" textlink="">
      <xdr:nvSpPr>
        <xdr:cNvPr id="4" name="3 CuadroTexto"/>
        <xdr:cNvSpPr txBox="1"/>
      </xdr:nvSpPr>
      <xdr:spPr>
        <a:xfrm>
          <a:off x="2295525" y="2038350"/>
          <a:ext cx="7820025" cy="733425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s-CO" sz="1100">
              <a:latin typeface="Arial Black" pitchFamily="34" charset="0"/>
            </a:rPr>
            <a:t>Al ser un producto</a:t>
          </a:r>
          <a:r>
            <a:rPr lang="es-CO" sz="1100" baseline="0">
              <a:latin typeface="Arial Black" pitchFamily="34" charset="0"/>
            </a:rPr>
            <a:t> sin competencia directa o similar, se toman como referentes las ventas de productos sustitutos en el año 2014, asi como las proyecciones de evolucion de demanda y oferta. La participacion se hace en base a proyecciones de objetivos estrategicos y de mercadeo.</a:t>
          </a:r>
          <a:endParaRPr lang="es-CO" sz="1100">
            <a:latin typeface="Arial Black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285750</xdr:colOff>
      <xdr:row>14</xdr:row>
      <xdr:rowOff>76200</xdr:rowOff>
    </xdr:from>
    <xdr:to>
      <xdr:col>14</xdr:col>
      <xdr:colOff>142875</xdr:colOff>
      <xdr:row>17</xdr:row>
      <xdr:rowOff>66674</xdr:rowOff>
    </xdr:to>
    <xdr:sp macro="" textlink="">
      <xdr:nvSpPr>
        <xdr:cNvPr id="5" name="4 CuadroTexto"/>
        <xdr:cNvSpPr txBox="1"/>
      </xdr:nvSpPr>
      <xdr:spPr>
        <a:xfrm>
          <a:off x="8924925" y="2628900"/>
          <a:ext cx="4429125" cy="676274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400">
              <a:latin typeface="Arial Black" pitchFamily="34" charset="0"/>
            </a:rPr>
            <a:t>Nota: Proyeccion de </a:t>
          </a:r>
          <a:r>
            <a:rPr lang="es-CO" sz="1400" baseline="0">
              <a:latin typeface="Arial Black" pitchFamily="34" charset="0"/>
            </a:rPr>
            <a:t> gastos operativos</a:t>
          </a:r>
          <a:r>
            <a:rPr lang="es-CO" sz="1400">
              <a:latin typeface="Arial Black" pitchFamily="34" charset="0"/>
            </a:rPr>
            <a:t>en base a la inflacion de marzo de 2015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1395412</xdr:colOff>
      <xdr:row>9</xdr:row>
      <xdr:rowOff>14287</xdr:rowOff>
    </xdr:from>
    <xdr:to>
      <xdr:col>7</xdr:col>
      <xdr:colOff>1233487</xdr:colOff>
      <xdr:row>23</xdr:row>
      <xdr:rowOff>90487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756708</xdr:colOff>
      <xdr:row>73</xdr:row>
      <xdr:rowOff>178857</xdr:rowOff>
    </xdr:from>
    <xdr:to>
      <xdr:col>5</xdr:col>
      <xdr:colOff>2492375</xdr:colOff>
      <xdr:row>88</xdr:row>
      <xdr:rowOff>64557</xdr:rowOff>
    </xdr:to>
    <xdr:graphicFrame macro="">
      <xdr:nvGraphicFramePr>
        <xdr:cNvPr id="1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1947334</xdr:colOff>
      <xdr:row>72</xdr:row>
      <xdr:rowOff>10583</xdr:rowOff>
    </xdr:from>
    <xdr:to>
      <xdr:col>9</xdr:col>
      <xdr:colOff>1090084</xdr:colOff>
      <xdr:row>72</xdr:row>
      <xdr:rowOff>10583</xdr:rowOff>
    </xdr:to>
    <xdr:cxnSp macro="">
      <xdr:nvCxnSpPr>
        <xdr:cNvPr id="60" name="59 Conector recto de flecha"/>
        <xdr:cNvCxnSpPr/>
      </xdr:nvCxnSpPr>
      <xdr:spPr>
        <a:xfrm>
          <a:off x="9027584" y="14774333"/>
          <a:ext cx="5323417" cy="0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1936750</xdr:colOff>
      <xdr:row>72</xdr:row>
      <xdr:rowOff>0</xdr:rowOff>
    </xdr:from>
    <xdr:to>
      <xdr:col>6</xdr:col>
      <xdr:colOff>1947334</xdr:colOff>
      <xdr:row>77</xdr:row>
      <xdr:rowOff>127000</xdr:rowOff>
    </xdr:to>
    <xdr:cxnSp macro="">
      <xdr:nvCxnSpPr>
        <xdr:cNvPr id="62" name="61 Conector recto de flecha"/>
        <xdr:cNvCxnSpPr/>
      </xdr:nvCxnSpPr>
      <xdr:spPr>
        <a:xfrm>
          <a:off x="9017000" y="14763750"/>
          <a:ext cx="10584" cy="1079500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1809750</xdr:colOff>
      <xdr:row>71</xdr:row>
      <xdr:rowOff>21167</xdr:rowOff>
    </xdr:from>
    <xdr:to>
      <xdr:col>6</xdr:col>
      <xdr:colOff>2042583</xdr:colOff>
      <xdr:row>71</xdr:row>
      <xdr:rowOff>232833</xdr:rowOff>
    </xdr:to>
    <xdr:sp macro="" textlink="">
      <xdr:nvSpPr>
        <xdr:cNvPr id="64" name="63 CuadroTexto"/>
        <xdr:cNvSpPr txBox="1"/>
      </xdr:nvSpPr>
      <xdr:spPr>
        <a:xfrm>
          <a:off x="8890000" y="14541500"/>
          <a:ext cx="232833" cy="2116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  <a:alpha val="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>
              <a:latin typeface="Arial Black" pitchFamily="34" charset="0"/>
            </a:rPr>
            <a:t>0</a:t>
          </a:r>
        </a:p>
      </xdr:txBody>
    </xdr:sp>
    <xdr:clientData/>
  </xdr:twoCellAnchor>
  <xdr:twoCellAnchor>
    <xdr:from>
      <xdr:col>6</xdr:col>
      <xdr:colOff>1259417</xdr:colOff>
      <xdr:row>78</xdr:row>
      <xdr:rowOff>42333</xdr:rowOff>
    </xdr:from>
    <xdr:to>
      <xdr:col>6</xdr:col>
      <xdr:colOff>2540000</xdr:colOff>
      <xdr:row>79</xdr:row>
      <xdr:rowOff>137583</xdr:rowOff>
    </xdr:to>
    <xdr:sp macro="" textlink="">
      <xdr:nvSpPr>
        <xdr:cNvPr id="66" name="65 CuadroTexto"/>
        <xdr:cNvSpPr txBox="1"/>
      </xdr:nvSpPr>
      <xdr:spPr>
        <a:xfrm>
          <a:off x="8339667" y="15949083"/>
          <a:ext cx="1280583" cy="285750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solidFill>
            <a:schemeClr val="lt1">
              <a:shade val="50000"/>
              <a:alpha val="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>
              <a:latin typeface="Arial Black" pitchFamily="34" charset="0"/>
            </a:rPr>
            <a:t>$ 765,030,000</a:t>
          </a:r>
        </a:p>
      </xdr:txBody>
    </xdr:sp>
    <xdr:clientData/>
  </xdr:twoCellAnchor>
  <xdr:twoCellAnchor>
    <xdr:from>
      <xdr:col>8</xdr:col>
      <xdr:colOff>0</xdr:colOff>
      <xdr:row>69</xdr:row>
      <xdr:rowOff>169333</xdr:rowOff>
    </xdr:from>
    <xdr:to>
      <xdr:col>8</xdr:col>
      <xdr:colOff>10583</xdr:colOff>
      <xdr:row>72</xdr:row>
      <xdr:rowOff>0</xdr:rowOff>
    </xdr:to>
    <xdr:cxnSp macro="">
      <xdr:nvCxnSpPr>
        <xdr:cNvPr id="67" name="66 Conector recto de flecha"/>
        <xdr:cNvCxnSpPr/>
      </xdr:nvCxnSpPr>
      <xdr:spPr>
        <a:xfrm flipH="1" flipV="1">
          <a:off x="10287000" y="14202833"/>
          <a:ext cx="10583" cy="560917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1407583</xdr:colOff>
      <xdr:row>68</xdr:row>
      <xdr:rowOff>179916</xdr:rowOff>
    </xdr:from>
    <xdr:to>
      <xdr:col>8</xdr:col>
      <xdr:colOff>1418167</xdr:colOff>
      <xdr:row>72</xdr:row>
      <xdr:rowOff>10584</xdr:rowOff>
    </xdr:to>
    <xdr:cxnSp macro="">
      <xdr:nvCxnSpPr>
        <xdr:cNvPr id="68" name="67 Conector recto de flecha"/>
        <xdr:cNvCxnSpPr/>
      </xdr:nvCxnSpPr>
      <xdr:spPr>
        <a:xfrm flipH="1" flipV="1">
          <a:off x="11694583" y="13969999"/>
          <a:ext cx="10584" cy="804335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2540001</xdr:colOff>
      <xdr:row>68</xdr:row>
      <xdr:rowOff>63500</xdr:rowOff>
    </xdr:from>
    <xdr:to>
      <xdr:col>8</xdr:col>
      <xdr:colOff>2561168</xdr:colOff>
      <xdr:row>71</xdr:row>
      <xdr:rowOff>232834</xdr:rowOff>
    </xdr:to>
    <xdr:cxnSp macro="">
      <xdr:nvCxnSpPr>
        <xdr:cNvPr id="70" name="69 Conector recto de flecha"/>
        <xdr:cNvCxnSpPr/>
      </xdr:nvCxnSpPr>
      <xdr:spPr>
        <a:xfrm flipH="1" flipV="1">
          <a:off x="12827001" y="13853583"/>
          <a:ext cx="21167" cy="899584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624416</xdr:colOff>
      <xdr:row>67</xdr:row>
      <xdr:rowOff>137583</xdr:rowOff>
    </xdr:from>
    <xdr:to>
      <xdr:col>9</xdr:col>
      <xdr:colOff>656168</xdr:colOff>
      <xdr:row>72</xdr:row>
      <xdr:rowOff>1</xdr:rowOff>
    </xdr:to>
    <xdr:cxnSp macro="">
      <xdr:nvCxnSpPr>
        <xdr:cNvPr id="72" name="71 Conector recto de flecha"/>
        <xdr:cNvCxnSpPr/>
      </xdr:nvCxnSpPr>
      <xdr:spPr>
        <a:xfrm flipH="1" flipV="1">
          <a:off x="13885333" y="13726583"/>
          <a:ext cx="31752" cy="1037168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2381251</xdr:colOff>
      <xdr:row>68</xdr:row>
      <xdr:rowOff>127000</xdr:rowOff>
    </xdr:from>
    <xdr:to>
      <xdr:col>8</xdr:col>
      <xdr:colOff>698501</xdr:colOff>
      <xdr:row>69</xdr:row>
      <xdr:rowOff>169333</xdr:rowOff>
    </xdr:to>
    <xdr:sp macro="" textlink="">
      <xdr:nvSpPr>
        <xdr:cNvPr id="74" name="73 CuadroTexto"/>
        <xdr:cNvSpPr txBox="1"/>
      </xdr:nvSpPr>
      <xdr:spPr>
        <a:xfrm>
          <a:off x="9461501" y="13917083"/>
          <a:ext cx="1524000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  <a:alpha val="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0" i="0" u="none" strike="noStrike">
              <a:solidFill>
                <a:schemeClr val="dk1"/>
              </a:solidFill>
              <a:effectLst/>
              <a:latin typeface="Arial Black" pitchFamily="34" charset="0"/>
              <a:ea typeface="+mn-ea"/>
              <a:cs typeface="+mn-cs"/>
            </a:rPr>
            <a:t>$583537472</a:t>
          </a:r>
          <a:r>
            <a:rPr lang="es-CO">
              <a:latin typeface="Arial Black" pitchFamily="34" charset="0"/>
            </a:rPr>
            <a:t> </a:t>
          </a:r>
          <a:endParaRPr lang="es-CO" sz="1100">
            <a:latin typeface="Arial Black" pitchFamily="34" charset="0"/>
          </a:endParaRPr>
        </a:p>
      </xdr:txBody>
    </xdr:sp>
    <xdr:clientData/>
  </xdr:twoCellAnchor>
  <xdr:twoCellAnchor>
    <xdr:from>
      <xdr:col>8</xdr:col>
      <xdr:colOff>635000</xdr:colOff>
      <xdr:row>67</xdr:row>
      <xdr:rowOff>95250</xdr:rowOff>
    </xdr:from>
    <xdr:to>
      <xdr:col>8</xdr:col>
      <xdr:colOff>2116667</xdr:colOff>
      <xdr:row>68</xdr:row>
      <xdr:rowOff>179917</xdr:rowOff>
    </xdr:to>
    <xdr:sp macro="" textlink="">
      <xdr:nvSpPr>
        <xdr:cNvPr id="75" name="74 CuadroTexto"/>
        <xdr:cNvSpPr txBox="1"/>
      </xdr:nvSpPr>
      <xdr:spPr>
        <a:xfrm>
          <a:off x="10922000" y="13684250"/>
          <a:ext cx="1481667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  <a:alpha val="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0" i="0" u="none" strike="noStrike">
              <a:solidFill>
                <a:schemeClr val="dk1"/>
              </a:solidFill>
              <a:effectLst/>
              <a:latin typeface="Arial Black" pitchFamily="34" charset="0"/>
              <a:ea typeface="+mn-ea"/>
              <a:cs typeface="+mn-cs"/>
            </a:rPr>
            <a:t>$ 1194435446</a:t>
          </a:r>
          <a:r>
            <a:rPr lang="es-CO">
              <a:latin typeface="Arial Black" pitchFamily="34" charset="0"/>
            </a:rPr>
            <a:t>  </a:t>
          </a:r>
          <a:endParaRPr lang="es-CO" sz="1100">
            <a:latin typeface="Arial Black" pitchFamily="34" charset="0"/>
          </a:endParaRPr>
        </a:p>
      </xdr:txBody>
    </xdr:sp>
    <xdr:clientData/>
  </xdr:twoCellAnchor>
  <xdr:twoCellAnchor>
    <xdr:from>
      <xdr:col>8</xdr:col>
      <xdr:colOff>1672166</xdr:colOff>
      <xdr:row>66</xdr:row>
      <xdr:rowOff>74083</xdr:rowOff>
    </xdr:from>
    <xdr:to>
      <xdr:col>9</xdr:col>
      <xdr:colOff>179916</xdr:colOff>
      <xdr:row>67</xdr:row>
      <xdr:rowOff>169333</xdr:rowOff>
    </xdr:to>
    <xdr:sp macro="" textlink="">
      <xdr:nvSpPr>
        <xdr:cNvPr id="76" name="75 CuadroTexto"/>
        <xdr:cNvSpPr txBox="1"/>
      </xdr:nvSpPr>
      <xdr:spPr>
        <a:xfrm>
          <a:off x="11959166" y="13472583"/>
          <a:ext cx="1481667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  <a:alpha val="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0" i="0" u="none" strike="noStrike">
              <a:solidFill>
                <a:schemeClr val="dk1"/>
              </a:solidFill>
              <a:effectLst/>
              <a:latin typeface="Arial Black" pitchFamily="34" charset="0"/>
              <a:ea typeface="+mn-ea"/>
              <a:cs typeface="+mn-cs"/>
            </a:rPr>
            <a:t>$ 1807279651</a:t>
          </a:r>
          <a:r>
            <a:rPr lang="es-CO">
              <a:latin typeface="Arial Black" pitchFamily="34" charset="0"/>
            </a:rPr>
            <a:t>    </a:t>
          </a:r>
          <a:endParaRPr lang="es-CO" sz="1100">
            <a:latin typeface="Arial Black" pitchFamily="34" charset="0"/>
          </a:endParaRPr>
        </a:p>
      </xdr:txBody>
    </xdr:sp>
    <xdr:clientData/>
  </xdr:twoCellAnchor>
  <xdr:twoCellAnchor>
    <xdr:from>
      <xdr:col>9</xdr:col>
      <xdr:colOff>84667</xdr:colOff>
      <xdr:row>66</xdr:row>
      <xdr:rowOff>0</xdr:rowOff>
    </xdr:from>
    <xdr:to>
      <xdr:col>9</xdr:col>
      <xdr:colOff>1566334</xdr:colOff>
      <xdr:row>67</xdr:row>
      <xdr:rowOff>95250</xdr:rowOff>
    </xdr:to>
    <xdr:sp macro="" textlink="">
      <xdr:nvSpPr>
        <xdr:cNvPr id="77" name="76 CuadroTexto"/>
        <xdr:cNvSpPr txBox="1"/>
      </xdr:nvSpPr>
      <xdr:spPr>
        <a:xfrm>
          <a:off x="13345584" y="13398500"/>
          <a:ext cx="1481667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  <a:alpha val="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0" i="0" u="none" strike="noStrike">
              <a:solidFill>
                <a:schemeClr val="dk1"/>
              </a:solidFill>
              <a:effectLst/>
              <a:latin typeface="Arial Black" pitchFamily="34" charset="0"/>
              <a:ea typeface="+mn-ea"/>
              <a:cs typeface="+mn-cs"/>
            </a:rPr>
            <a:t>$ 2535846486</a:t>
          </a:r>
          <a:r>
            <a:rPr lang="es-CO">
              <a:latin typeface="Arial Black" pitchFamily="34" charset="0"/>
            </a:rPr>
            <a:t>   </a:t>
          </a:r>
          <a:endParaRPr lang="es-CO" sz="1100">
            <a:latin typeface="Arial Black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1559717</xdr:colOff>
      <xdr:row>57</xdr:row>
      <xdr:rowOff>95250</xdr:rowOff>
    </xdr:from>
    <xdr:to>
      <xdr:col>7</xdr:col>
      <xdr:colOff>535781</xdr:colOff>
      <xdr:row>60</xdr:row>
      <xdr:rowOff>166688</xdr:rowOff>
    </xdr:to>
    <xdr:sp macro="" textlink="">
      <xdr:nvSpPr>
        <xdr:cNvPr id="2" name="1 CuadroTexto"/>
        <xdr:cNvSpPr txBox="1"/>
      </xdr:nvSpPr>
      <xdr:spPr>
        <a:xfrm>
          <a:off x="2321717" y="13442156"/>
          <a:ext cx="11858627" cy="64293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>
              <a:latin typeface="Arial Black" pitchFamily="34" charset="0"/>
            </a:rPr>
            <a:t>SE CONCLUYE QUE EL PROYECTO ES POCO SENSIBLE A LA VARIACION DEL PRECIO PUESTO QUE SOPORTA HASTA UN 68,8%  DANDO UN MARGEN AMPLIO  EN CASO DE UNA DISMINUCION SIGNIFICATIVA DE LOS INGRESOS PRODUCTO DE </a:t>
          </a:r>
          <a:r>
            <a:rPr lang="es-CO" sz="1100" baseline="0">
              <a:latin typeface="Arial Black" pitchFamily="34" charset="0"/>
            </a:rPr>
            <a:t> DICHA VARIACION DEL PRECIO DE VENTA.</a:t>
          </a:r>
          <a:endParaRPr lang="es-CO" sz="1100">
            <a:latin typeface="Arial Black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artinez/My%20Documents/Downloads/Trabajo-corregido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 del producto"/>
      <sheetName val="Proyección de la demanda"/>
      <sheetName val="Nómina general"/>
      <sheetName val="Costos de producción"/>
      <sheetName val="Gastos de operación"/>
      <sheetName val="Cuadro de ingresos"/>
      <sheetName val="Inversiones"/>
      <sheetName val="Flujo de caja"/>
      <sheetName val="Ciclo operativo"/>
      <sheetName val="Crédito"/>
      <sheetName val="Estado de Resultados"/>
      <sheetName val="Balance General"/>
      <sheetName val="Flujo de caja libre"/>
      <sheetName val="diagrama de flujo"/>
      <sheetName val="TIO y WACC"/>
      <sheetName val="Indicadores sin Fin."/>
      <sheetName val="Indicadores con Fin"/>
      <sheetName val="Anal. sensib. con financia"/>
      <sheetName val="no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7"/>
  <sheetViews>
    <sheetView tabSelected="1" workbookViewId="0">
      <selection activeCell="L12" sqref="L12"/>
    </sheetView>
  </sheetViews>
  <sheetFormatPr baseColWidth="10" defaultRowHeight="15" x14ac:dyDescent="0.25"/>
  <cols>
    <col min="3" max="3" width="11.42578125" customWidth="1"/>
    <col min="4" max="4" width="8.140625" customWidth="1"/>
    <col min="5" max="5" width="21.85546875" customWidth="1"/>
    <col min="6" max="6" width="20.140625" customWidth="1"/>
    <col min="7" max="7" width="17.140625" customWidth="1"/>
    <col min="8" max="8" width="21.42578125" customWidth="1"/>
    <col min="9" max="9" width="17.42578125" customWidth="1"/>
    <col min="10" max="10" width="18.42578125" customWidth="1"/>
  </cols>
  <sheetData>
    <row r="1" spans="2:10" ht="15.75" thickBot="1" x14ac:dyDescent="0.3"/>
    <row r="2" spans="2:10" ht="19.5" thickBot="1" x14ac:dyDescent="0.45">
      <c r="D2" s="216" t="s">
        <v>3</v>
      </c>
      <c r="E2" s="217"/>
      <c r="F2" s="217"/>
      <c r="G2" s="217"/>
      <c r="H2" s="217"/>
      <c r="I2" s="217"/>
      <c r="J2" s="218"/>
    </row>
    <row r="3" spans="2:10" ht="24" customHeight="1" thickBot="1" x14ac:dyDescent="0.3">
      <c r="B3" s="1"/>
      <c r="D3" s="1"/>
    </row>
    <row r="4" spans="2:10" ht="32.25" customHeight="1" x14ac:dyDescent="0.3">
      <c r="D4" s="140" t="s">
        <v>0</v>
      </c>
      <c r="E4" s="137" t="s">
        <v>4</v>
      </c>
      <c r="F4" s="137" t="s">
        <v>1</v>
      </c>
      <c r="G4" s="137" t="s">
        <v>2</v>
      </c>
      <c r="H4" s="138" t="s">
        <v>5</v>
      </c>
      <c r="I4" s="138" t="s">
        <v>6</v>
      </c>
      <c r="J4" s="139" t="s">
        <v>7</v>
      </c>
    </row>
    <row r="5" spans="2:10" ht="15.75" x14ac:dyDescent="0.3">
      <c r="D5" s="106">
        <v>1</v>
      </c>
      <c r="E5" s="136">
        <v>2447040000</v>
      </c>
      <c r="F5" s="136">
        <v>367056000</v>
      </c>
      <c r="G5" s="107">
        <f>F5*1/E5</f>
        <v>0.15</v>
      </c>
      <c r="H5" s="108">
        <f>F5/60000</f>
        <v>6117.6</v>
      </c>
      <c r="I5" s="107">
        <v>0.13159999999999999</v>
      </c>
      <c r="J5" s="109">
        <v>0.13159999999999999</v>
      </c>
    </row>
    <row r="6" spans="2:10" ht="15.75" x14ac:dyDescent="0.3">
      <c r="D6" s="106">
        <v>2</v>
      </c>
      <c r="E6" s="136">
        <v>2471020992</v>
      </c>
      <c r="F6" s="136">
        <f>F5+(F5*J5)</f>
        <v>415360569.60000002</v>
      </c>
      <c r="G6" s="107">
        <f t="shared" ref="G6:G8" si="0">F6*1/E6</f>
        <v>0.16809269162210339</v>
      </c>
      <c r="H6" s="108">
        <f t="shared" ref="H6:H8" si="1">F6/60000</f>
        <v>6922.67616</v>
      </c>
      <c r="I6" s="107">
        <v>0.13159999999999999</v>
      </c>
      <c r="J6" s="109">
        <v>0.13159999999999999</v>
      </c>
    </row>
    <row r="7" spans="2:10" ht="15.75" x14ac:dyDescent="0.3">
      <c r="D7" s="106">
        <v>3</v>
      </c>
      <c r="E7" s="136">
        <v>2495236998</v>
      </c>
      <c r="F7" s="136">
        <f t="shared" ref="F7:F8" si="2">F6+(F6*J6)</f>
        <v>470022020.55936003</v>
      </c>
      <c r="G7" s="107">
        <f t="shared" si="0"/>
        <v>0.18836768649074032</v>
      </c>
      <c r="H7" s="108">
        <f t="shared" si="1"/>
        <v>7833.7003426560004</v>
      </c>
      <c r="I7" s="107">
        <v>0.13159999999999999</v>
      </c>
      <c r="J7" s="109">
        <v>0.13159999999999999</v>
      </c>
    </row>
    <row r="8" spans="2:10" ht="15.75" x14ac:dyDescent="0.3">
      <c r="D8" s="106">
        <v>4</v>
      </c>
      <c r="E8" s="136">
        <v>2519690320</v>
      </c>
      <c r="F8" s="136">
        <f t="shared" si="2"/>
        <v>531876918.46497178</v>
      </c>
      <c r="G8" s="107">
        <f t="shared" si="0"/>
        <v>0.21108820962767036</v>
      </c>
      <c r="H8" s="108">
        <f t="shared" si="1"/>
        <v>8864.6153077495292</v>
      </c>
      <c r="I8" s="107">
        <v>0.13159999999999999</v>
      </c>
      <c r="J8" s="109">
        <v>0.13159999999999999</v>
      </c>
    </row>
    <row r="16" spans="2:10" x14ac:dyDescent="0.25">
      <c r="J16">
        <v>55</v>
      </c>
    </row>
    <row r="17" spans="8:8" x14ac:dyDescent="0.25">
      <c r="H17" t="s">
        <v>236</v>
      </c>
    </row>
  </sheetData>
  <mergeCells count="1">
    <mergeCell ref="D2:J2"/>
  </mergeCells>
  <pageMargins left="0.7" right="0.7" top="0.75" bottom="0.75" header="0.3" footer="0.3"/>
  <pageSetup paperSize="0" orientation="portrait" horizontalDpi="0" verticalDpi="0" copie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Q44"/>
  <sheetViews>
    <sheetView zoomScale="60" zoomScaleNormal="60" workbookViewId="0">
      <selection activeCell="K12" sqref="K12"/>
    </sheetView>
  </sheetViews>
  <sheetFormatPr baseColWidth="10" defaultRowHeight="15" x14ac:dyDescent="0.25"/>
  <cols>
    <col min="5" max="5" width="38.42578125" customWidth="1"/>
    <col min="6" max="6" width="25.7109375" customWidth="1"/>
    <col min="7" max="7" width="26.42578125" customWidth="1"/>
    <col min="8" max="9" width="26.85546875" customWidth="1"/>
    <col min="10" max="10" width="25.7109375" customWidth="1"/>
    <col min="12" max="12" width="45.42578125" customWidth="1"/>
    <col min="13" max="13" width="24.42578125" customWidth="1"/>
    <col min="14" max="14" width="25.85546875" customWidth="1"/>
    <col min="15" max="15" width="26.5703125" customWidth="1"/>
    <col min="16" max="16" width="25.7109375" customWidth="1"/>
    <col min="17" max="17" width="25.28515625" customWidth="1"/>
  </cols>
  <sheetData>
    <row r="1" spans="5:17" ht="15.75" thickBot="1" x14ac:dyDescent="0.3"/>
    <row r="2" spans="5:17" ht="20.25" thickBot="1" x14ac:dyDescent="0.45">
      <c r="E2" s="262"/>
      <c r="F2" s="262"/>
      <c r="G2" s="262"/>
      <c r="H2" s="262"/>
      <c r="I2" s="262"/>
      <c r="J2" s="262"/>
      <c r="L2" s="246" t="s">
        <v>136</v>
      </c>
      <c r="M2" s="247"/>
      <c r="N2" s="247"/>
      <c r="O2" s="247"/>
      <c r="P2" s="247"/>
      <c r="Q2" s="248"/>
    </row>
    <row r="3" spans="5:17" ht="19.5" x14ac:dyDescent="0.4">
      <c r="E3" s="199"/>
      <c r="F3" s="199"/>
      <c r="G3" s="199"/>
      <c r="H3" s="199"/>
      <c r="I3" s="199"/>
      <c r="J3" s="199"/>
      <c r="L3" s="65" t="s">
        <v>137</v>
      </c>
      <c r="M3" s="66" t="s">
        <v>138</v>
      </c>
      <c r="N3" s="66" t="s">
        <v>139</v>
      </c>
      <c r="O3" s="66" t="s">
        <v>140</v>
      </c>
      <c r="P3" s="66" t="s">
        <v>141</v>
      </c>
      <c r="Q3" s="67" t="s">
        <v>142</v>
      </c>
    </row>
    <row r="4" spans="5:17" ht="19.5" x14ac:dyDescent="0.4">
      <c r="E4" s="263"/>
      <c r="F4" s="264"/>
      <c r="G4" s="264"/>
      <c r="H4" s="264"/>
      <c r="I4" s="264"/>
      <c r="J4" s="264"/>
      <c r="L4" s="68" t="s">
        <v>143</v>
      </c>
      <c r="M4" s="193"/>
      <c r="N4" s="193"/>
      <c r="O4" s="193"/>
      <c r="P4" s="193"/>
      <c r="Q4" s="194"/>
    </row>
    <row r="5" spans="5:17" ht="19.5" x14ac:dyDescent="0.4">
      <c r="E5" s="265"/>
      <c r="F5" s="266"/>
      <c r="G5" s="266"/>
      <c r="H5" s="266"/>
      <c r="I5" s="266"/>
      <c r="J5" s="266"/>
      <c r="L5" s="69" t="s">
        <v>144</v>
      </c>
      <c r="M5" s="195">
        <v>0</v>
      </c>
      <c r="N5" s="195">
        <f>'FLUJO DE CAJA'!G27</f>
        <v>101430900</v>
      </c>
      <c r="O5" s="195">
        <f>'FLUJO DE CAJA'!H27</f>
        <v>230016517.17721319</v>
      </c>
      <c r="P5" s="195">
        <f>'FLUJO DE CAJA'!I27</f>
        <v>374741671.17785215</v>
      </c>
      <c r="Q5" s="196">
        <f>'FLUJO DE CAJA'!J27</f>
        <v>529032933.29921538</v>
      </c>
    </row>
    <row r="6" spans="5:17" ht="19.5" x14ac:dyDescent="0.4">
      <c r="E6" s="267"/>
      <c r="F6" s="264"/>
      <c r="G6" s="264"/>
      <c r="H6" s="264"/>
      <c r="I6" s="264"/>
      <c r="J6" s="264"/>
      <c r="L6" s="70" t="s">
        <v>145</v>
      </c>
      <c r="M6" s="193">
        <v>0</v>
      </c>
      <c r="N6" s="193">
        <f>N5</f>
        <v>101430900</v>
      </c>
      <c r="O6" s="193">
        <f>O5</f>
        <v>230016517.17721319</v>
      </c>
      <c r="P6" s="193">
        <f>P5</f>
        <v>374741671.17785215</v>
      </c>
      <c r="Q6" s="194">
        <f>Q5</f>
        <v>529032933.29921538</v>
      </c>
    </row>
    <row r="7" spans="5:17" ht="19.5" x14ac:dyDescent="0.4">
      <c r="E7" s="268"/>
      <c r="F7" s="266"/>
      <c r="G7" s="266"/>
      <c r="H7" s="266"/>
      <c r="I7" s="266"/>
      <c r="J7" s="266"/>
      <c r="L7" s="71" t="s">
        <v>146</v>
      </c>
      <c r="M7" s="195">
        <f>M8+M9+M10+M11+M12+M13+M14+M15+M16+M17+M18</f>
        <v>210960600</v>
      </c>
      <c r="N7" s="195">
        <f>N8+N9+N10+N11+N12+N13+N14+N15+N16+N17+N18</f>
        <v>121529700</v>
      </c>
      <c r="O7" s="195">
        <f t="shared" ref="O7:Q7" si="0">O8+O9+O10+O11+O12+O13+O14+O15+O16+O17+O18</f>
        <v>61961800</v>
      </c>
      <c r="P7" s="195">
        <f t="shared" si="0"/>
        <v>3530900</v>
      </c>
      <c r="Q7" s="195">
        <f t="shared" si="0"/>
        <v>7600000</v>
      </c>
    </row>
    <row r="8" spans="5:17" ht="19.5" x14ac:dyDescent="0.4">
      <c r="E8" s="12"/>
      <c r="F8" s="264"/>
      <c r="G8" s="264"/>
      <c r="H8" s="264"/>
      <c r="I8" s="264"/>
      <c r="J8" s="264"/>
      <c r="L8" s="5" t="s">
        <v>232</v>
      </c>
      <c r="M8" s="193">
        <f>N8+P8</f>
        <v>88000000</v>
      </c>
      <c r="N8" s="193">
        <f>O8+P8</f>
        <v>66000000</v>
      </c>
      <c r="O8" s="193">
        <f>P8*2</f>
        <v>44000000</v>
      </c>
      <c r="P8" s="193">
        <v>22000000</v>
      </c>
      <c r="Q8" s="194">
        <v>0</v>
      </c>
    </row>
    <row r="9" spans="5:17" ht="19.5" x14ac:dyDescent="0.4">
      <c r="E9" s="12"/>
      <c r="F9" s="264"/>
      <c r="G9" s="264"/>
      <c r="H9" s="264"/>
      <c r="I9" s="264"/>
      <c r="J9" s="264"/>
      <c r="L9" s="5" t="s">
        <v>218</v>
      </c>
      <c r="M9" s="193">
        <f>12900000*5</f>
        <v>64500000</v>
      </c>
      <c r="N9" s="193">
        <f>M9-12900000</f>
        <v>51600000</v>
      </c>
      <c r="O9" s="193">
        <f>N9-12900000</f>
        <v>38700000</v>
      </c>
      <c r="P9" s="193">
        <f>O9-12900000</f>
        <v>25800000</v>
      </c>
      <c r="Q9" s="194">
        <f t="shared" ref="M9:Q12" si="1">J9</f>
        <v>0</v>
      </c>
    </row>
    <row r="10" spans="5:17" ht="19.5" x14ac:dyDescent="0.4">
      <c r="E10" s="12"/>
      <c r="F10" s="269"/>
      <c r="G10" s="264"/>
      <c r="H10" s="264"/>
      <c r="I10" s="264"/>
      <c r="J10" s="264"/>
      <c r="L10" s="5" t="s">
        <v>219</v>
      </c>
      <c r="M10" s="197">
        <f>Q10*5</f>
        <v>0</v>
      </c>
      <c r="N10" s="193">
        <f>M10-15200000</f>
        <v>-15200000</v>
      </c>
      <c r="O10" s="193">
        <f t="shared" ref="O10:P10" si="2">N10-15200000</f>
        <v>-30400000</v>
      </c>
      <c r="P10" s="193">
        <f t="shared" si="2"/>
        <v>-45600000</v>
      </c>
      <c r="Q10" s="194">
        <f t="shared" si="1"/>
        <v>0</v>
      </c>
    </row>
    <row r="11" spans="5:17" ht="19.5" x14ac:dyDescent="0.4">
      <c r="E11" s="12"/>
      <c r="F11" s="264"/>
      <c r="G11" s="264"/>
      <c r="H11" s="264"/>
      <c r="I11" s="264"/>
      <c r="J11" s="264"/>
      <c r="L11" s="5" t="s">
        <v>220</v>
      </c>
      <c r="M11" s="193">
        <f>Q11*5</f>
        <v>0</v>
      </c>
      <c r="N11" s="193">
        <f>M11-14400000</f>
        <v>-14400000</v>
      </c>
      <c r="O11" s="193">
        <f t="shared" ref="O11:P11" si="3">N11-14400000</f>
        <v>-28800000</v>
      </c>
      <c r="P11" s="193">
        <f t="shared" si="3"/>
        <v>-43200000</v>
      </c>
      <c r="Q11" s="194">
        <f t="shared" si="1"/>
        <v>0</v>
      </c>
    </row>
    <row r="12" spans="5:17" ht="19.5" x14ac:dyDescent="0.4">
      <c r="E12" s="12"/>
      <c r="F12" s="264"/>
      <c r="G12" s="264"/>
      <c r="H12" s="264"/>
      <c r="I12" s="264"/>
      <c r="J12" s="264"/>
      <c r="L12" s="5" t="s">
        <v>233</v>
      </c>
      <c r="M12" s="193">
        <f t="shared" si="1"/>
        <v>0</v>
      </c>
      <c r="N12" s="193">
        <f t="shared" si="1"/>
        <v>0</v>
      </c>
      <c r="O12" s="193">
        <f t="shared" si="1"/>
        <v>0</v>
      </c>
      <c r="P12" s="193">
        <v>12000000</v>
      </c>
      <c r="Q12" s="194"/>
    </row>
    <row r="13" spans="5:17" ht="19.5" x14ac:dyDescent="0.4">
      <c r="E13" s="12"/>
      <c r="F13" s="264"/>
      <c r="G13" s="264"/>
      <c r="H13" s="264"/>
      <c r="I13" s="264"/>
      <c r="J13" s="264"/>
      <c r="L13" s="5" t="s">
        <v>222</v>
      </c>
      <c r="M13" s="193">
        <f t="shared" ref="M13:O15" si="4">F13</f>
        <v>0</v>
      </c>
      <c r="N13" s="193">
        <f>M13-9500000</f>
        <v>-9500000</v>
      </c>
      <c r="O13" s="193">
        <f t="shared" si="4"/>
        <v>0</v>
      </c>
      <c r="P13" s="193">
        <v>9500000</v>
      </c>
      <c r="Q13" s="194"/>
    </row>
    <row r="14" spans="5:17" ht="19.5" x14ac:dyDescent="0.4">
      <c r="E14" s="12"/>
      <c r="F14" s="264"/>
      <c r="G14" s="264"/>
      <c r="H14" s="264"/>
      <c r="I14" s="264"/>
      <c r="J14" s="264"/>
      <c r="L14" s="5" t="s">
        <v>223</v>
      </c>
      <c r="M14" s="193">
        <v>38000000</v>
      </c>
      <c r="N14" s="193">
        <f>M14-7600000</f>
        <v>30400000</v>
      </c>
      <c r="O14" s="193">
        <f>N14-7600000</f>
        <v>22800000</v>
      </c>
      <c r="P14" s="193">
        <f>O14-7600000</f>
        <v>15200000</v>
      </c>
      <c r="Q14" s="193">
        <f>P14-7600000</f>
        <v>7600000</v>
      </c>
    </row>
    <row r="15" spans="5:17" s="21" customFormat="1" ht="19.5" x14ac:dyDescent="0.4">
      <c r="E15" s="12"/>
      <c r="F15" s="264"/>
      <c r="G15" s="264"/>
      <c r="H15" s="264"/>
      <c r="I15" s="264"/>
      <c r="J15" s="264"/>
      <c r="L15" s="5" t="s">
        <v>230</v>
      </c>
      <c r="M15" s="193">
        <f t="shared" si="4"/>
        <v>0</v>
      </c>
      <c r="N15" s="193">
        <f>M15-2715750</f>
        <v>-2715750</v>
      </c>
      <c r="O15" s="193">
        <f>P15*2</f>
        <v>5431500</v>
      </c>
      <c r="P15" s="193">
        <v>2715750</v>
      </c>
      <c r="Q15" s="194"/>
    </row>
    <row r="16" spans="5:17" ht="19.5" x14ac:dyDescent="0.4">
      <c r="E16" s="12"/>
      <c r="F16" s="264"/>
      <c r="G16" s="264"/>
      <c r="H16" s="264"/>
      <c r="I16" s="264"/>
      <c r="J16" s="264"/>
      <c r="L16" s="5" t="s">
        <v>231</v>
      </c>
      <c r="M16" s="193">
        <f>P16*4</f>
        <v>795500</v>
      </c>
      <c r="N16" s="193">
        <f>P16*3</f>
        <v>596625</v>
      </c>
      <c r="O16" s="193">
        <f>P16*2</f>
        <v>397750</v>
      </c>
      <c r="P16" s="193">
        <v>198875</v>
      </c>
      <c r="Q16" s="194"/>
    </row>
    <row r="17" spans="5:17" s="21" customFormat="1" ht="19.5" x14ac:dyDescent="0.4">
      <c r="E17" s="12"/>
      <c r="F17" s="264"/>
      <c r="G17" s="264"/>
      <c r="H17" s="264"/>
      <c r="I17" s="264"/>
      <c r="J17" s="264"/>
      <c r="L17" s="5" t="s">
        <v>234</v>
      </c>
      <c r="M17" s="193">
        <f>P17*4</f>
        <v>9902600</v>
      </c>
      <c r="N17" s="193">
        <f>P17*3</f>
        <v>7426950</v>
      </c>
      <c r="O17" s="193">
        <f>P17*2</f>
        <v>4951300</v>
      </c>
      <c r="P17" s="193">
        <v>2475650</v>
      </c>
      <c r="Q17" s="194"/>
    </row>
    <row r="18" spans="5:17" s="21" customFormat="1" ht="19.5" x14ac:dyDescent="0.4">
      <c r="E18" s="12"/>
      <c r="F18" s="264"/>
      <c r="G18" s="264"/>
      <c r="H18" s="264"/>
      <c r="I18" s="264"/>
      <c r="J18" s="264"/>
      <c r="L18" s="5" t="s">
        <v>235</v>
      </c>
      <c r="M18" s="193">
        <f>P18*4</f>
        <v>9762500</v>
      </c>
      <c r="N18" s="193">
        <f>P18*3</f>
        <v>7321875</v>
      </c>
      <c r="O18" s="193">
        <f>P18*2</f>
        <v>4881250</v>
      </c>
      <c r="P18" s="193">
        <v>2440625</v>
      </c>
      <c r="Q18" s="194"/>
    </row>
    <row r="19" spans="5:17" ht="19.5" x14ac:dyDescent="0.4">
      <c r="E19" s="268"/>
      <c r="F19" s="266"/>
      <c r="G19" s="266"/>
      <c r="H19" s="266"/>
      <c r="I19" s="266"/>
      <c r="J19" s="266"/>
      <c r="L19" s="71" t="s">
        <v>147</v>
      </c>
      <c r="M19" s="195">
        <v>0</v>
      </c>
      <c r="N19" s="195">
        <v>0</v>
      </c>
      <c r="O19" s="195">
        <v>0</v>
      </c>
      <c r="P19" s="195">
        <v>0</v>
      </c>
      <c r="Q19" s="196">
        <v>0</v>
      </c>
    </row>
    <row r="20" spans="5:17" ht="19.5" x14ac:dyDescent="0.4">
      <c r="E20" s="270"/>
      <c r="F20" s="264"/>
      <c r="G20" s="264"/>
      <c r="H20" s="264"/>
      <c r="I20" s="264"/>
      <c r="J20" s="264"/>
      <c r="L20" s="72" t="s">
        <v>64</v>
      </c>
      <c r="M20" s="193"/>
      <c r="N20" s="193"/>
      <c r="O20" s="193"/>
      <c r="P20" s="193"/>
      <c r="Q20" s="194"/>
    </row>
    <row r="21" spans="5:17" ht="19.5" x14ac:dyDescent="0.4">
      <c r="E21" s="270"/>
      <c r="F21" s="264"/>
      <c r="G21" s="264"/>
      <c r="H21" s="264"/>
      <c r="I21" s="264"/>
      <c r="J21" s="264"/>
      <c r="L21" s="72" t="s">
        <v>43</v>
      </c>
      <c r="M21" s="193">
        <f>[1]Inversiones!M22</f>
        <v>0</v>
      </c>
      <c r="N21" s="193">
        <f>[1]Inversiones!M22</f>
        <v>0</v>
      </c>
      <c r="O21" s="193">
        <v>0</v>
      </c>
      <c r="P21" s="193">
        <v>0</v>
      </c>
      <c r="Q21" s="194"/>
    </row>
    <row r="22" spans="5:17" ht="19.5" x14ac:dyDescent="0.4">
      <c r="E22" s="270"/>
      <c r="F22" s="264"/>
      <c r="G22" s="264"/>
      <c r="H22" s="264"/>
      <c r="I22" s="264"/>
      <c r="J22" s="264"/>
      <c r="L22" s="72" t="s">
        <v>148</v>
      </c>
      <c r="M22" s="193">
        <f>[1]Inversiones!M23</f>
        <v>0</v>
      </c>
      <c r="N22" s="193">
        <f>[1]Inversiones!M23</f>
        <v>0</v>
      </c>
      <c r="O22" s="193">
        <v>0</v>
      </c>
      <c r="P22" s="193">
        <v>0</v>
      </c>
      <c r="Q22" s="194"/>
    </row>
    <row r="23" spans="5:17" ht="19.5" x14ac:dyDescent="0.4">
      <c r="E23" s="270"/>
      <c r="F23" s="271"/>
      <c r="G23" s="271"/>
      <c r="H23" s="271"/>
      <c r="I23" s="271"/>
      <c r="J23" s="271"/>
      <c r="L23" s="192" t="s">
        <v>149</v>
      </c>
      <c r="M23" s="198">
        <f>'FLUJO DE CAJA'!$G$10</f>
        <v>0</v>
      </c>
      <c r="N23" s="198">
        <f>'FLUJO DE CAJA'!$G$10</f>
        <v>0</v>
      </c>
      <c r="O23" s="198">
        <f>'FLUJO DE CAJA'!$G$10</f>
        <v>0</v>
      </c>
      <c r="P23" s="198">
        <f>'FLUJO DE CAJA'!$G$10</f>
        <v>0</v>
      </c>
      <c r="Q23" s="198">
        <f>'FLUJO DE CAJA'!$G$10</f>
        <v>0</v>
      </c>
    </row>
    <row r="24" spans="5:17" ht="19.5" x14ac:dyDescent="0.4">
      <c r="E24" s="272"/>
      <c r="F24" s="266"/>
      <c r="G24" s="266"/>
      <c r="H24" s="266"/>
      <c r="I24" s="266"/>
      <c r="J24" s="266"/>
      <c r="L24" s="191" t="s">
        <v>150</v>
      </c>
      <c r="M24" s="189">
        <f t="shared" ref="M24:Q24" si="5">M5+M7+M19</f>
        <v>210960600</v>
      </c>
      <c r="N24" s="189">
        <f t="shared" si="5"/>
        <v>222960600</v>
      </c>
      <c r="O24" s="189">
        <f t="shared" si="5"/>
        <v>291978317.17721319</v>
      </c>
      <c r="P24" s="189">
        <f t="shared" si="5"/>
        <v>378272571.17785215</v>
      </c>
      <c r="Q24" s="190">
        <f t="shared" si="5"/>
        <v>536632933.29921538</v>
      </c>
    </row>
    <row r="25" spans="5:17" ht="19.5" x14ac:dyDescent="0.4">
      <c r="E25" s="272"/>
      <c r="F25" s="264"/>
      <c r="G25" s="264"/>
      <c r="H25" s="264"/>
      <c r="I25" s="264"/>
      <c r="J25" s="264"/>
      <c r="L25" s="73"/>
      <c r="M25" s="193"/>
      <c r="N25" s="193"/>
      <c r="O25" s="193"/>
      <c r="P25" s="193"/>
      <c r="Q25" s="194"/>
    </row>
    <row r="26" spans="5:17" ht="19.5" x14ac:dyDescent="0.4">
      <c r="E26" s="263"/>
      <c r="F26" s="264"/>
      <c r="G26" s="264"/>
      <c r="H26" s="264"/>
      <c r="I26" s="264"/>
      <c r="J26" s="264"/>
      <c r="L26" s="68" t="s">
        <v>151</v>
      </c>
      <c r="M26" s="193"/>
      <c r="N26" s="193"/>
      <c r="O26" s="193"/>
      <c r="P26" s="193"/>
      <c r="Q26" s="194"/>
    </row>
    <row r="27" spans="5:17" ht="19.5" x14ac:dyDescent="0.4">
      <c r="E27" s="265"/>
      <c r="F27" s="266"/>
      <c r="G27" s="266"/>
      <c r="H27" s="266"/>
      <c r="I27" s="266"/>
      <c r="J27" s="266"/>
      <c r="L27" s="74" t="s">
        <v>152</v>
      </c>
      <c r="M27" s="195">
        <f>SUM(M28:M29)</f>
        <v>0</v>
      </c>
      <c r="N27" s="195"/>
      <c r="O27" s="195">
        <f t="shared" ref="O27:Q27" si="6">SUM(O28:O29)</f>
        <v>0</v>
      </c>
      <c r="P27" s="195">
        <f t="shared" si="6"/>
        <v>0</v>
      </c>
      <c r="Q27" s="196">
        <f t="shared" si="6"/>
        <v>0</v>
      </c>
    </row>
    <row r="28" spans="5:17" ht="19.5" x14ac:dyDescent="0.4">
      <c r="E28" s="267"/>
      <c r="F28" s="264"/>
      <c r="G28" s="264"/>
      <c r="H28" s="264"/>
      <c r="I28" s="264"/>
      <c r="J28" s="264"/>
      <c r="L28" s="70" t="s">
        <v>153</v>
      </c>
      <c r="M28" s="193"/>
      <c r="N28" s="193"/>
      <c r="O28" s="193">
        <v>0</v>
      </c>
      <c r="P28" s="193">
        <v>0</v>
      </c>
      <c r="Q28" s="194">
        <v>0</v>
      </c>
    </row>
    <row r="29" spans="5:17" ht="19.5" x14ac:dyDescent="0.4">
      <c r="E29" s="267"/>
      <c r="F29" s="264"/>
      <c r="G29" s="264"/>
      <c r="H29" s="264"/>
      <c r="I29" s="264"/>
      <c r="J29" s="264"/>
      <c r="L29" s="70" t="s">
        <v>154</v>
      </c>
      <c r="M29" s="193">
        <v>0</v>
      </c>
      <c r="N29" s="193">
        <v>0</v>
      </c>
      <c r="O29" s="193">
        <v>0</v>
      </c>
      <c r="P29" s="193">
        <v>0</v>
      </c>
      <c r="Q29" s="194">
        <v>0</v>
      </c>
    </row>
    <row r="30" spans="5:17" ht="19.5" x14ac:dyDescent="0.4">
      <c r="E30" s="268"/>
      <c r="F30" s="266"/>
      <c r="G30" s="266"/>
      <c r="H30" s="266"/>
      <c r="I30" s="266"/>
      <c r="J30" s="266"/>
      <c r="L30" s="71" t="s">
        <v>155</v>
      </c>
      <c r="M30" s="195"/>
      <c r="N30" s="195">
        <f>N36</f>
        <v>-12359861.684851646</v>
      </c>
      <c r="O30" s="195"/>
      <c r="P30" s="195"/>
      <c r="Q30" s="196"/>
    </row>
    <row r="31" spans="5:17" ht="19.5" x14ac:dyDescent="0.4">
      <c r="E31" s="267"/>
      <c r="F31" s="264"/>
      <c r="G31" s="264"/>
      <c r="H31" s="264"/>
      <c r="I31" s="264"/>
      <c r="J31" s="264"/>
      <c r="L31" s="70" t="s">
        <v>156</v>
      </c>
      <c r="M31" s="193"/>
      <c r="N31" s="193"/>
      <c r="O31" s="193"/>
      <c r="P31" s="193"/>
      <c r="Q31" s="193"/>
    </row>
    <row r="32" spans="5:17" ht="19.5" x14ac:dyDescent="0.4">
      <c r="E32" s="268"/>
      <c r="F32" s="266"/>
      <c r="G32" s="266"/>
      <c r="H32" s="266"/>
      <c r="I32" s="266"/>
      <c r="J32" s="266"/>
      <c r="L32" s="188" t="s">
        <v>157</v>
      </c>
      <c r="M32" s="189">
        <f>M27+M30</f>
        <v>0</v>
      </c>
      <c r="N32" s="189">
        <f>N30</f>
        <v>-12359861.684851646</v>
      </c>
      <c r="O32" s="189"/>
      <c r="P32" s="189">
        <f t="shared" ref="P32:Q32" si="7">P27+P30</f>
        <v>0</v>
      </c>
      <c r="Q32" s="190">
        <f t="shared" si="7"/>
        <v>0</v>
      </c>
    </row>
    <row r="33" spans="5:17" ht="19.5" x14ac:dyDescent="0.4">
      <c r="E33" s="268"/>
      <c r="F33" s="264"/>
      <c r="G33" s="264"/>
      <c r="H33" s="264"/>
      <c r="I33" s="264"/>
      <c r="J33" s="264"/>
      <c r="L33" s="71"/>
      <c r="M33" s="193"/>
      <c r="N33" s="193"/>
      <c r="O33" s="193"/>
      <c r="P33" s="193"/>
      <c r="Q33" s="194"/>
    </row>
    <row r="34" spans="5:17" ht="19.5" x14ac:dyDescent="0.4">
      <c r="E34" s="263"/>
      <c r="F34" s="264"/>
      <c r="G34" s="264"/>
      <c r="H34" s="264"/>
      <c r="I34" s="264"/>
      <c r="J34" s="264"/>
      <c r="L34" s="68" t="s">
        <v>158</v>
      </c>
      <c r="M34" s="193"/>
      <c r="N34" s="193"/>
      <c r="O34" s="193"/>
      <c r="P34" s="193"/>
      <c r="Q34" s="194"/>
    </row>
    <row r="35" spans="5:17" ht="19.5" x14ac:dyDescent="0.4">
      <c r="E35" s="267"/>
      <c r="F35" s="264"/>
      <c r="G35" s="264"/>
      <c r="H35" s="264"/>
      <c r="I35" s="264"/>
      <c r="J35" s="264"/>
      <c r="L35" s="70" t="s">
        <v>159</v>
      </c>
      <c r="M35" s="193">
        <f>INVERSION!H15</f>
        <v>455823600</v>
      </c>
      <c r="N35" s="193">
        <f>M35</f>
        <v>455823600</v>
      </c>
      <c r="O35" s="193">
        <f t="shared" ref="O35:Q35" si="8">N35</f>
        <v>455823600</v>
      </c>
      <c r="P35" s="193">
        <f t="shared" si="8"/>
        <v>455823600</v>
      </c>
      <c r="Q35" s="193">
        <f t="shared" si="8"/>
        <v>455823600</v>
      </c>
    </row>
    <row r="36" spans="5:17" ht="19.5" x14ac:dyDescent="0.4">
      <c r="E36" s="267"/>
      <c r="F36" s="264"/>
      <c r="G36" s="264"/>
      <c r="H36" s="264"/>
      <c r="I36" s="264"/>
      <c r="J36" s="264"/>
      <c r="L36" s="70" t="s">
        <v>160</v>
      </c>
      <c r="M36" s="193"/>
      <c r="N36" s="193">
        <f>'FLUJO DE CAJA'!G16</f>
        <v>-12359861.684851646</v>
      </c>
      <c r="O36" s="193">
        <f>'FLUJO DE CAJA'!H16</f>
        <v>27154717.177213199</v>
      </c>
      <c r="P36" s="193">
        <f>'FLUJO DE CAJA'!I16</f>
        <v>70448971.177852154</v>
      </c>
      <c r="Q36" s="194">
        <f>'FLUJO DE CAJA'!J16</f>
        <v>123309333.29921538</v>
      </c>
    </row>
    <row r="37" spans="5:17" ht="19.5" x14ac:dyDescent="0.4">
      <c r="E37" s="267"/>
      <c r="F37" s="264"/>
      <c r="G37" s="264"/>
      <c r="H37" s="264"/>
      <c r="I37" s="264"/>
      <c r="J37" s="264"/>
      <c r="L37" s="70" t="s">
        <v>161</v>
      </c>
      <c r="M37" s="193"/>
      <c r="N37" s="193">
        <f>M36</f>
        <v>0</v>
      </c>
      <c r="O37" s="193"/>
      <c r="P37" s="193"/>
      <c r="Q37" s="194"/>
    </row>
    <row r="38" spans="5:17" ht="19.5" x14ac:dyDescent="0.4">
      <c r="E38" s="268"/>
      <c r="F38" s="266"/>
      <c r="G38" s="266"/>
      <c r="H38" s="266"/>
      <c r="I38" s="266"/>
      <c r="J38" s="266"/>
      <c r="L38" s="188" t="s">
        <v>162</v>
      </c>
      <c r="M38" s="189">
        <f>SUM(M35:M37)</f>
        <v>455823600</v>
      </c>
      <c r="N38" s="189">
        <f>SUM(N35:N37)</f>
        <v>443463738.31514835</v>
      </c>
      <c r="O38" s="189">
        <f t="shared" ref="O38:Q38" si="9">SUM(O35:O37)</f>
        <v>482978317.17721319</v>
      </c>
      <c r="P38" s="189">
        <f t="shared" si="9"/>
        <v>526272571.17785215</v>
      </c>
      <c r="Q38" s="190">
        <f t="shared" si="9"/>
        <v>579132933.29921532</v>
      </c>
    </row>
    <row r="39" spans="5:17" ht="19.5" x14ac:dyDescent="0.4">
      <c r="E39" s="199"/>
      <c r="F39" s="199"/>
      <c r="G39" s="199"/>
      <c r="H39" s="199"/>
      <c r="I39" s="199"/>
      <c r="J39" s="199"/>
      <c r="L39" s="75"/>
      <c r="M39" s="199"/>
      <c r="N39" s="199"/>
      <c r="O39" s="199"/>
      <c r="P39" s="199"/>
      <c r="Q39" s="200"/>
    </row>
    <row r="40" spans="5:17" ht="20.25" thickBot="1" x14ac:dyDescent="0.45">
      <c r="E40" s="199"/>
      <c r="F40" s="264"/>
      <c r="G40" s="264"/>
      <c r="H40" s="264"/>
      <c r="I40" s="264"/>
      <c r="J40" s="264"/>
      <c r="L40" s="185" t="s">
        <v>163</v>
      </c>
      <c r="M40" s="186">
        <f>M24-M32</f>
        <v>210960600</v>
      </c>
      <c r="N40" s="186">
        <f>N24+N32</f>
        <v>210600738.31514835</v>
      </c>
      <c r="O40" s="186">
        <f t="shared" ref="O40:Q40" si="10">O24-O32</f>
        <v>291978317.17721319</v>
      </c>
      <c r="P40" s="186">
        <f t="shared" si="10"/>
        <v>378272571.17785215</v>
      </c>
      <c r="Q40" s="187">
        <f t="shared" si="10"/>
        <v>536632933.29921538</v>
      </c>
    </row>
    <row r="43" spans="5:17" x14ac:dyDescent="0.25">
      <c r="N43" s="104"/>
      <c r="O43" s="104"/>
    </row>
    <row r="44" spans="5:17" x14ac:dyDescent="0.25">
      <c r="N44" s="104"/>
    </row>
  </sheetData>
  <mergeCells count="2">
    <mergeCell ref="E2:J2"/>
    <mergeCell ref="L2:Q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1"/>
  <sheetViews>
    <sheetView zoomScale="80" zoomScaleNormal="80" workbookViewId="0">
      <selection activeCell="B10" sqref="B10"/>
    </sheetView>
  </sheetViews>
  <sheetFormatPr baseColWidth="10" defaultRowHeight="15" x14ac:dyDescent="0.25"/>
  <cols>
    <col min="1" max="1" width="20.42578125" customWidth="1"/>
    <col min="2" max="2" width="22.42578125" customWidth="1"/>
    <col min="3" max="3" width="19.42578125" customWidth="1"/>
    <col min="4" max="4" width="42.5703125" customWidth="1"/>
    <col min="5" max="5" width="27.42578125" customWidth="1"/>
    <col min="6" max="6" width="21.85546875" customWidth="1"/>
    <col min="7" max="7" width="22.140625" customWidth="1"/>
    <col min="8" max="8" width="25.140625" customWidth="1"/>
  </cols>
  <sheetData>
    <row r="2" spans="4:8" ht="18.75" x14ac:dyDescent="0.4">
      <c r="D2" s="281"/>
      <c r="E2" s="281"/>
      <c r="F2" s="281"/>
      <c r="G2" s="281"/>
      <c r="H2" s="281"/>
    </row>
    <row r="3" spans="4:8" ht="18.75" x14ac:dyDescent="0.4">
      <c r="D3" s="282"/>
      <c r="E3" s="282"/>
      <c r="F3" s="282"/>
      <c r="G3" s="282"/>
      <c r="H3" s="282"/>
    </row>
    <row r="4" spans="4:8" ht="18.75" x14ac:dyDescent="0.4">
      <c r="D4" s="12"/>
      <c r="E4" s="283"/>
      <c r="F4" s="283"/>
      <c r="G4" s="283"/>
      <c r="H4" s="283"/>
    </row>
    <row r="5" spans="4:8" ht="18.75" x14ac:dyDescent="0.4">
      <c r="D5" s="12"/>
      <c r="E5" s="283"/>
      <c r="F5" s="283"/>
      <c r="G5" s="283"/>
      <c r="H5" s="283"/>
    </row>
    <row r="6" spans="4:8" ht="18.75" x14ac:dyDescent="0.4">
      <c r="D6" s="12"/>
      <c r="E6" s="283"/>
      <c r="F6" s="283"/>
      <c r="G6" s="283"/>
      <c r="H6" s="283"/>
    </row>
    <row r="7" spans="4:8" ht="18.75" x14ac:dyDescent="0.4">
      <c r="D7" s="12"/>
      <c r="E7" s="283"/>
      <c r="F7" s="283"/>
      <c r="G7" s="283"/>
      <c r="H7" s="283"/>
    </row>
    <row r="8" spans="4:8" ht="18.75" x14ac:dyDescent="0.4">
      <c r="D8" s="12"/>
      <c r="E8" s="283"/>
      <c r="F8" s="283"/>
      <c r="G8" s="283"/>
      <c r="H8" s="283"/>
    </row>
    <row r="9" spans="4:8" ht="18.75" x14ac:dyDescent="0.4">
      <c r="D9" s="261"/>
      <c r="E9" s="280"/>
      <c r="F9" s="280"/>
      <c r="G9" s="280"/>
      <c r="H9" s="280"/>
    </row>
    <row r="10" spans="4:8" ht="18.75" x14ac:dyDescent="0.4">
      <c r="D10" s="12"/>
      <c r="E10" s="283"/>
      <c r="F10" s="283"/>
      <c r="G10" s="283"/>
      <c r="H10" s="283"/>
    </row>
    <row r="11" spans="4:8" ht="18.75" x14ac:dyDescent="0.4">
      <c r="D11" s="12"/>
      <c r="E11" s="283"/>
      <c r="F11" s="283"/>
      <c r="G11" s="283"/>
      <c r="H11" s="283"/>
    </row>
    <row r="12" spans="4:8" ht="18.75" x14ac:dyDescent="0.4">
      <c r="D12" s="12"/>
      <c r="E12" s="283"/>
      <c r="F12" s="283"/>
      <c r="G12" s="283"/>
      <c r="H12" s="283"/>
    </row>
    <row r="13" spans="4:8" ht="18.75" x14ac:dyDescent="0.4">
      <c r="D13" s="12"/>
      <c r="E13" s="283"/>
      <c r="F13" s="283"/>
      <c r="G13" s="283"/>
      <c r="H13" s="283"/>
    </row>
    <row r="14" spans="4:8" ht="18.75" x14ac:dyDescent="0.4">
      <c r="D14" s="261"/>
      <c r="E14" s="280"/>
      <c r="F14" s="280"/>
      <c r="G14" s="280"/>
      <c r="H14" s="280"/>
    </row>
    <row r="15" spans="4:8" ht="18.75" x14ac:dyDescent="0.4">
      <c r="D15" s="261"/>
      <c r="E15" s="280"/>
      <c r="F15" s="280"/>
      <c r="G15" s="280"/>
      <c r="H15" s="280"/>
    </row>
    <row r="16" spans="4:8" ht="18.75" x14ac:dyDescent="0.4">
      <c r="D16" s="12"/>
      <c r="E16" s="283"/>
      <c r="F16" s="283"/>
      <c r="G16" s="283"/>
      <c r="H16" s="283"/>
    </row>
    <row r="17" spans="2:8" ht="18.75" x14ac:dyDescent="0.4">
      <c r="D17" s="12"/>
      <c r="E17" s="284"/>
      <c r="F17" s="284"/>
      <c r="G17" s="284"/>
      <c r="H17" s="12"/>
    </row>
    <row r="18" spans="2:8" ht="18.75" x14ac:dyDescent="0.4">
      <c r="D18" s="12"/>
      <c r="E18" s="12"/>
      <c r="F18" s="12"/>
      <c r="G18" s="12"/>
      <c r="H18" s="12"/>
    </row>
    <row r="19" spans="2:8" s="21" customFormat="1" ht="18.75" x14ac:dyDescent="0.4">
      <c r="D19" s="12"/>
      <c r="E19" s="283"/>
      <c r="F19" s="283"/>
      <c r="G19" s="283"/>
      <c r="H19" s="283"/>
    </row>
    <row r="20" spans="2:8" ht="18.75" x14ac:dyDescent="0.4">
      <c r="B20" s="105"/>
      <c r="D20" s="261"/>
      <c r="E20" s="280"/>
      <c r="F20" s="280"/>
      <c r="G20" s="280"/>
      <c r="H20" s="280"/>
    </row>
    <row r="21" spans="2:8" s="21" customFormat="1" ht="18.75" x14ac:dyDescent="0.4">
      <c r="B21" s="105"/>
      <c r="D21" s="261"/>
      <c r="E21" s="280"/>
      <c r="F21" s="280"/>
      <c r="G21" s="280"/>
      <c r="H21" s="280"/>
    </row>
    <row r="22" spans="2:8" ht="15.75" thickBot="1" x14ac:dyDescent="0.3"/>
    <row r="23" spans="2:8" ht="19.5" thickBot="1" x14ac:dyDescent="0.45">
      <c r="D23" s="249" t="s">
        <v>240</v>
      </c>
      <c r="E23" s="250"/>
      <c r="F23" s="250"/>
      <c r="G23" s="250"/>
      <c r="H23" s="251"/>
    </row>
    <row r="24" spans="2:8" ht="18.75" x14ac:dyDescent="0.4">
      <c r="D24" s="60"/>
      <c r="E24" s="61" t="s">
        <v>120</v>
      </c>
      <c r="F24" s="61" t="s">
        <v>47</v>
      </c>
      <c r="G24" s="61" t="s">
        <v>12</v>
      </c>
      <c r="H24" s="62" t="s">
        <v>120</v>
      </c>
    </row>
    <row r="25" spans="2:8" ht="18.75" x14ac:dyDescent="0.4">
      <c r="D25" s="5" t="s">
        <v>92</v>
      </c>
      <c r="E25" s="201">
        <f>E4</f>
        <v>0</v>
      </c>
      <c r="F25" s="201">
        <f>F4</f>
        <v>0</v>
      </c>
      <c r="G25" s="201">
        <f>G4</f>
        <v>0</v>
      </c>
      <c r="H25" s="202">
        <f>H4</f>
        <v>0</v>
      </c>
    </row>
    <row r="26" spans="2:8" ht="18.75" x14ac:dyDescent="0.4">
      <c r="D26" s="5" t="s">
        <v>121</v>
      </c>
      <c r="E26" s="201">
        <v>0</v>
      </c>
      <c r="F26" s="201">
        <v>0</v>
      </c>
      <c r="G26" s="201">
        <v>0</v>
      </c>
      <c r="H26" s="202">
        <v>0</v>
      </c>
    </row>
    <row r="27" spans="2:8" ht="18.75" x14ac:dyDescent="0.4">
      <c r="D27" s="5" t="s">
        <v>208</v>
      </c>
      <c r="E27" s="201">
        <f>'FLUJO DE CAJA'!G5</f>
        <v>111035343.97558337</v>
      </c>
      <c r="F27" s="201">
        <f>'FLUJO DE CAJA'!H5</f>
        <v>117584388.61070287</v>
      </c>
      <c r="G27" s="201">
        <f>'FLUJO DE CAJA'!I5</f>
        <v>124538851.04123802</v>
      </c>
      <c r="H27" s="202">
        <f>'FLUJO DE CAJA'!J5</f>
        <v>131916303.60329992</v>
      </c>
    </row>
    <row r="28" spans="2:8" ht="18.75" x14ac:dyDescent="0.4">
      <c r="D28" s="5" t="s">
        <v>122</v>
      </c>
      <c r="E28" s="201">
        <f>'FLUJO DE CAJA'!N9</f>
        <v>101430900</v>
      </c>
      <c r="F28" s="201">
        <f>'FLUJO DE CAJA'!O9</f>
        <v>101430900</v>
      </c>
      <c r="G28" s="201">
        <v>101430900</v>
      </c>
      <c r="H28" s="201">
        <v>101430900</v>
      </c>
    </row>
    <row r="29" spans="2:8" ht="18.75" x14ac:dyDescent="0.4">
      <c r="D29" s="5" t="s">
        <v>123</v>
      </c>
      <c r="E29" s="201"/>
      <c r="F29" s="201"/>
      <c r="G29" s="201"/>
      <c r="H29" s="202"/>
    </row>
    <row r="30" spans="2:8" ht="18.75" x14ac:dyDescent="0.4">
      <c r="D30" s="63" t="s">
        <v>124</v>
      </c>
      <c r="E30" s="203">
        <f>E25-E26-E27-E28-E29</f>
        <v>-212466243.97558337</v>
      </c>
      <c r="F30" s="203">
        <f t="shared" ref="F30:G30" si="0">F25-F27-F28-F29</f>
        <v>-219015288.61070287</v>
      </c>
      <c r="G30" s="203">
        <f t="shared" si="0"/>
        <v>-225969751.04123801</v>
      </c>
      <c r="H30" s="204">
        <f>H25-H27-H28-H29</f>
        <v>-233347203.60329992</v>
      </c>
    </row>
    <row r="31" spans="2:8" ht="18.75" x14ac:dyDescent="0.4">
      <c r="D31" s="5" t="s">
        <v>125</v>
      </c>
      <c r="E31" s="201">
        <f t="shared" ref="E31:H32" si="1">E10</f>
        <v>0</v>
      </c>
      <c r="F31" s="201">
        <f t="shared" si="1"/>
        <v>0</v>
      </c>
      <c r="G31" s="201">
        <f t="shared" si="1"/>
        <v>0</v>
      </c>
      <c r="H31" s="202">
        <f t="shared" si="1"/>
        <v>0</v>
      </c>
    </row>
    <row r="32" spans="2:8" ht="18.75" x14ac:dyDescent="0.4">
      <c r="D32" s="5" t="s">
        <v>126</v>
      </c>
      <c r="E32" s="201">
        <f t="shared" si="1"/>
        <v>0</v>
      </c>
      <c r="F32" s="201">
        <f t="shared" si="1"/>
        <v>0</v>
      </c>
      <c r="G32" s="201">
        <f t="shared" si="1"/>
        <v>0</v>
      </c>
      <c r="H32" s="202">
        <f t="shared" si="1"/>
        <v>0</v>
      </c>
    </row>
    <row r="33" spans="1:8" ht="18.75" x14ac:dyDescent="0.4">
      <c r="D33" s="5" t="s">
        <v>127</v>
      </c>
      <c r="E33" s="201">
        <v>0</v>
      </c>
      <c r="F33" s="201">
        <v>0</v>
      </c>
      <c r="G33" s="201">
        <v>0</v>
      </c>
      <c r="H33" s="202">
        <v>0</v>
      </c>
    </row>
    <row r="34" spans="1:8" ht="18.75" x14ac:dyDescent="0.4">
      <c r="A34">
        <v>5</v>
      </c>
      <c r="D34" s="5" t="s">
        <v>128</v>
      </c>
      <c r="E34" s="201">
        <f>E13</f>
        <v>0</v>
      </c>
      <c r="F34" s="201">
        <f>F13</f>
        <v>0</v>
      </c>
      <c r="G34" s="201">
        <f>G13</f>
        <v>0</v>
      </c>
      <c r="H34" s="201">
        <f>H13</f>
        <v>0</v>
      </c>
    </row>
    <row r="35" spans="1:8" ht="18.75" x14ac:dyDescent="0.4">
      <c r="D35" s="63" t="s">
        <v>129</v>
      </c>
      <c r="E35" s="203">
        <f>E30-E31-E32-E33-E34</f>
        <v>-212466243.97558337</v>
      </c>
      <c r="F35" s="203">
        <f t="shared" ref="F35:G35" si="2">F30-F31-F32-F33-F34</f>
        <v>-219015288.61070287</v>
      </c>
      <c r="G35" s="203">
        <f t="shared" si="2"/>
        <v>-225969751.04123801</v>
      </c>
      <c r="H35" s="204">
        <f>H30-H31-H32-H33-H34</f>
        <v>-233347203.60329992</v>
      </c>
    </row>
    <row r="36" spans="1:8" ht="18.75" x14ac:dyDescent="0.4">
      <c r="D36" s="5" t="s">
        <v>130</v>
      </c>
      <c r="E36" s="201">
        <v>0</v>
      </c>
      <c r="F36" s="201">
        <v>0</v>
      </c>
      <c r="G36" s="201">
        <v>0</v>
      </c>
      <c r="H36" s="202">
        <v>11880600</v>
      </c>
    </row>
    <row r="37" spans="1:8" ht="18.75" x14ac:dyDescent="0.4">
      <c r="D37" s="5" t="s">
        <v>131</v>
      </c>
      <c r="E37" s="201"/>
      <c r="F37" s="201"/>
      <c r="G37" s="201"/>
      <c r="H37" s="202"/>
    </row>
    <row r="38" spans="1:8" ht="18.75" x14ac:dyDescent="0.4">
      <c r="D38" s="5" t="s">
        <v>132</v>
      </c>
      <c r="E38" s="201"/>
      <c r="F38" s="201"/>
      <c r="G38" s="201"/>
      <c r="H38" s="202"/>
    </row>
    <row r="39" spans="1:8" ht="18.75" x14ac:dyDescent="0.4">
      <c r="D39" s="63" t="s">
        <v>133</v>
      </c>
      <c r="E39" s="203">
        <f>E35+E36+E37+E38</f>
        <v>-212466243.97558337</v>
      </c>
      <c r="F39" s="203">
        <f t="shared" ref="F39:G39" si="3">F35+F36+F37+F38</f>
        <v>-219015288.61070287</v>
      </c>
      <c r="G39" s="203">
        <f t="shared" si="3"/>
        <v>-225969751.04123801</v>
      </c>
      <c r="H39" s="204">
        <f>H35+H36+H37+H38</f>
        <v>-221466603.60329992</v>
      </c>
    </row>
    <row r="40" spans="1:8" ht="18.75" x14ac:dyDescent="0.4">
      <c r="D40" s="5" t="s">
        <v>134</v>
      </c>
      <c r="E40" s="201">
        <v>0</v>
      </c>
      <c r="F40" s="201">
        <f>F39*0.34</f>
        <v>-74465198.127638981</v>
      </c>
      <c r="G40" s="201">
        <f>G39*0.34</f>
        <v>-76829715.354020923</v>
      </c>
      <c r="H40" s="202">
        <f>H39*0.34</f>
        <v>-75298645.225121975</v>
      </c>
    </row>
    <row r="41" spans="1:8" ht="19.5" thickBot="1" x14ac:dyDescent="0.45">
      <c r="D41" s="184" t="s">
        <v>135</v>
      </c>
      <c r="E41" s="205">
        <f>E39-E40</f>
        <v>-212466243.97558337</v>
      </c>
      <c r="F41" s="205">
        <f t="shared" ref="F41:G41" si="4">F39-F40</f>
        <v>-144550090.48306388</v>
      </c>
      <c r="G41" s="205">
        <f t="shared" si="4"/>
        <v>-149140035.68721709</v>
      </c>
      <c r="H41" s="206">
        <f>H39-H40</f>
        <v>-146167958.37817794</v>
      </c>
    </row>
  </sheetData>
  <mergeCells count="2">
    <mergeCell ref="D2:H2"/>
    <mergeCell ref="D23:H23"/>
  </mergeCells>
  <pageMargins left="0.7" right="0.7" top="0.75" bottom="0.75" header="0.3" footer="0.3"/>
  <pageSetup paperSize="0" orientation="portrait" horizontalDpi="0" verticalDpi="0" copie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76"/>
  <sheetViews>
    <sheetView zoomScale="90" zoomScaleNormal="90" workbookViewId="0">
      <selection activeCell="I2" sqref="I2:J6"/>
    </sheetView>
  </sheetViews>
  <sheetFormatPr baseColWidth="10" defaultRowHeight="15" x14ac:dyDescent="0.25"/>
  <cols>
    <col min="4" max="4" width="14" customWidth="1"/>
    <col min="5" max="5" width="17.140625" customWidth="1"/>
    <col min="6" max="6" width="40.85546875" customWidth="1"/>
    <col min="7" max="7" width="40.42578125" customWidth="1"/>
    <col min="8" max="8" width="7.5703125" customWidth="1"/>
    <col min="9" max="9" width="44.5703125" customWidth="1"/>
    <col min="10" max="10" width="40" customWidth="1"/>
  </cols>
  <sheetData>
    <row r="2" spans="6:10" ht="18.75" x14ac:dyDescent="0.4">
      <c r="F2" s="260"/>
      <c r="G2" s="260"/>
      <c r="I2" s="290"/>
      <c r="J2" s="290"/>
    </row>
    <row r="3" spans="6:10" ht="18.75" x14ac:dyDescent="0.4">
      <c r="F3" s="12"/>
      <c r="G3" s="287"/>
      <c r="I3" s="291"/>
      <c r="J3" s="292"/>
    </row>
    <row r="4" spans="6:10" ht="18.75" x14ac:dyDescent="0.4">
      <c r="F4" s="12"/>
      <c r="G4" s="288"/>
      <c r="I4" s="291"/>
      <c r="J4" s="292"/>
    </row>
    <row r="5" spans="6:10" ht="18.75" x14ac:dyDescent="0.4">
      <c r="F5" s="12"/>
      <c r="G5" s="289"/>
      <c r="I5" s="291"/>
      <c r="J5" s="293"/>
    </row>
    <row r="6" spans="6:10" x14ac:dyDescent="0.25">
      <c r="I6" s="284"/>
      <c r="J6" s="284"/>
    </row>
    <row r="7" spans="6:10" ht="15" customHeight="1" x14ac:dyDescent="0.25">
      <c r="F7" s="252"/>
      <c r="G7" s="252"/>
      <c r="I7" s="252"/>
      <c r="J7" s="252"/>
    </row>
    <row r="8" spans="6:10" x14ac:dyDescent="0.25">
      <c r="F8" s="252"/>
      <c r="G8" s="252"/>
      <c r="I8" s="252"/>
      <c r="J8" s="252"/>
    </row>
    <row r="9" spans="6:10" x14ac:dyDescent="0.25">
      <c r="F9" s="252"/>
      <c r="G9" s="252"/>
      <c r="I9" s="252"/>
      <c r="J9" s="252"/>
    </row>
    <row r="10" spans="6:10" x14ac:dyDescent="0.25">
      <c r="F10" s="252"/>
      <c r="G10" s="252"/>
      <c r="I10" s="252"/>
      <c r="J10" s="252"/>
    </row>
    <row r="11" spans="6:10" x14ac:dyDescent="0.25">
      <c r="F11" s="252"/>
      <c r="G11" s="252"/>
      <c r="I11" s="252"/>
      <c r="J11" s="252"/>
    </row>
    <row r="12" spans="6:10" ht="15.75" thickBot="1" x14ac:dyDescent="0.3"/>
    <row r="13" spans="6:10" ht="19.5" thickBot="1" x14ac:dyDescent="0.45">
      <c r="F13" s="253" t="s">
        <v>241</v>
      </c>
      <c r="G13" s="254"/>
      <c r="I13" s="258" t="s">
        <v>242</v>
      </c>
      <c r="J13" s="259"/>
    </row>
    <row r="14" spans="6:10" ht="18.75" x14ac:dyDescent="0.4">
      <c r="F14" s="13" t="s">
        <v>164</v>
      </c>
      <c r="G14" s="207">
        <f>NPV('CREDITO Y TASAS'!J22,'FLUJO DE CAJA'!G27:J27)</f>
        <v>789868604.5699023</v>
      </c>
      <c r="I14" s="78" t="s">
        <v>167</v>
      </c>
      <c r="J14" s="210">
        <f>NPV('CREDITO Y TASAS'!J22,'FLUJO DE CAJA'!G27:J27)</f>
        <v>789868604.5699023</v>
      </c>
    </row>
    <row r="15" spans="6:10" ht="18.75" x14ac:dyDescent="0.4">
      <c r="F15" s="5" t="s">
        <v>165</v>
      </c>
      <c r="G15" s="208">
        <f>INVERSION!H15+4000000</f>
        <v>459823600</v>
      </c>
      <c r="I15" s="78" t="s">
        <v>168</v>
      </c>
      <c r="J15" s="210">
        <f>NPV('CREDITO Y TASAS'!J22,-'FLUJO DE CAJA'!M27)</f>
        <v>449588276.92830062</v>
      </c>
    </row>
    <row r="16" spans="6:10" ht="19.5" thickBot="1" x14ac:dyDescent="0.45">
      <c r="F16" s="6" t="s">
        <v>166</v>
      </c>
      <c r="G16" s="209">
        <f>G14/G15</f>
        <v>1.7177643874083504</v>
      </c>
      <c r="I16" s="79" t="s">
        <v>169</v>
      </c>
      <c r="J16" s="211">
        <f>J14/J15</f>
        <v>1.7568709975413102</v>
      </c>
    </row>
    <row r="17" spans="1:10" x14ac:dyDescent="0.25">
      <c r="A17" s="252"/>
      <c r="B17" s="252"/>
    </row>
    <row r="18" spans="1:10" x14ac:dyDescent="0.25">
      <c r="A18" s="252"/>
      <c r="B18" s="252"/>
      <c r="F18" s="252"/>
      <c r="G18" s="252"/>
      <c r="I18" s="252"/>
      <c r="J18" s="252"/>
    </row>
    <row r="19" spans="1:10" x14ac:dyDescent="0.25">
      <c r="A19" s="252"/>
      <c r="B19" s="252"/>
      <c r="F19" s="252"/>
      <c r="G19" s="252"/>
      <c r="I19" s="252"/>
      <c r="J19" s="252"/>
    </row>
    <row r="20" spans="1:10" x14ac:dyDescent="0.25">
      <c r="A20" s="252"/>
      <c r="B20" s="252"/>
      <c r="F20" s="252"/>
      <c r="G20" s="252"/>
      <c r="I20" s="252"/>
      <c r="J20" s="252"/>
    </row>
    <row r="21" spans="1:10" x14ac:dyDescent="0.25">
      <c r="A21" s="252"/>
      <c r="B21" s="252"/>
      <c r="F21" s="252"/>
      <c r="G21" s="252"/>
      <c r="I21" s="252"/>
      <c r="J21" s="252"/>
    </row>
    <row r="22" spans="1:10" x14ac:dyDescent="0.25">
      <c r="F22" s="252"/>
      <c r="G22" s="252"/>
      <c r="I22" s="252"/>
      <c r="J22" s="252"/>
    </row>
    <row r="23" spans="1:10" x14ac:dyDescent="0.25">
      <c r="I23" s="284"/>
      <c r="J23" s="284"/>
    </row>
    <row r="24" spans="1:10" ht="15.75" thickBot="1" x14ac:dyDescent="0.3"/>
    <row r="25" spans="1:10" ht="18.75" x14ac:dyDescent="0.4">
      <c r="F25" s="256" t="s">
        <v>243</v>
      </c>
      <c r="G25" s="257"/>
      <c r="I25" s="260"/>
      <c r="J25" s="260"/>
    </row>
    <row r="26" spans="1:10" ht="18.75" x14ac:dyDescent="0.4">
      <c r="F26" s="5" t="s">
        <v>170</v>
      </c>
      <c r="G26" s="168">
        <f>INVERSION!H15</f>
        <v>455823600</v>
      </c>
      <c r="I26" s="12"/>
      <c r="J26" s="12"/>
    </row>
    <row r="27" spans="1:10" ht="18.75" x14ac:dyDescent="0.4">
      <c r="F27" s="5" t="s">
        <v>10</v>
      </c>
      <c r="G27" s="168">
        <f>'FLUJO DE CAJA'!G27</f>
        <v>101430900</v>
      </c>
      <c r="I27" s="12"/>
      <c r="J27" s="12"/>
    </row>
    <row r="28" spans="1:10" ht="18.75" x14ac:dyDescent="0.4">
      <c r="F28" s="5" t="s">
        <v>171</v>
      </c>
      <c r="G28" s="168">
        <f>G26-G27</f>
        <v>354392700</v>
      </c>
      <c r="I28" s="12"/>
      <c r="J28" s="12"/>
    </row>
    <row r="29" spans="1:10" ht="18.75" x14ac:dyDescent="0.4">
      <c r="F29" s="5" t="s">
        <v>47</v>
      </c>
      <c r="G29" s="168">
        <f>'FLUJO DE CAJA'!H27</f>
        <v>230016517.17721319</v>
      </c>
      <c r="I29" s="12"/>
      <c r="J29" s="12"/>
    </row>
    <row r="30" spans="1:10" ht="18.75" x14ac:dyDescent="0.4">
      <c r="F30" s="5" t="s">
        <v>171</v>
      </c>
      <c r="G30" s="168">
        <f>G28-G29</f>
        <v>124376182.82278681</v>
      </c>
      <c r="I30" s="12"/>
      <c r="J30" s="286"/>
    </row>
    <row r="31" spans="1:10" ht="18.75" x14ac:dyDescent="0.4">
      <c r="F31" s="29" t="s">
        <v>12</v>
      </c>
      <c r="G31" s="213">
        <f>'FLUJO DE CAJA'!I27</f>
        <v>374741671.17785215</v>
      </c>
      <c r="I31" s="12"/>
      <c r="J31" s="286"/>
    </row>
    <row r="32" spans="1:10" s="21" customFormat="1" ht="18.75" x14ac:dyDescent="0.4">
      <c r="F32" s="5" t="s">
        <v>172</v>
      </c>
      <c r="G32" s="168">
        <f>G31/12</f>
        <v>31228472.598154347</v>
      </c>
      <c r="I32" s="12"/>
      <c r="J32" s="286"/>
    </row>
    <row r="33" spans="4:10" s="21" customFormat="1" ht="19.5" thickBot="1" x14ac:dyDescent="0.45">
      <c r="F33" s="6" t="s">
        <v>173</v>
      </c>
      <c r="G33" s="212">
        <f>G30/G32</f>
        <v>3.9827814963366999</v>
      </c>
      <c r="I33" s="12"/>
      <c r="J33" s="286"/>
    </row>
    <row r="38" spans="4:10" ht="15.75" thickBot="1" x14ac:dyDescent="0.3"/>
    <row r="39" spans="4:10" ht="19.5" thickBot="1" x14ac:dyDescent="0.45">
      <c r="F39" s="253" t="s">
        <v>244</v>
      </c>
      <c r="G39" s="254"/>
      <c r="I39" s="260"/>
      <c r="J39" s="260"/>
    </row>
    <row r="40" spans="4:10" ht="19.5" thickBot="1" x14ac:dyDescent="0.45">
      <c r="F40" s="214" t="s">
        <v>175</v>
      </c>
      <c r="G40" s="215">
        <f>IRR('FLUJO DE CAJA'!M27:Q27)</f>
        <v>0.79310475504385192</v>
      </c>
      <c r="I40" s="12"/>
      <c r="J40" s="285"/>
    </row>
    <row r="47" spans="4:10" ht="15.75" thickBot="1" x14ac:dyDescent="0.3"/>
    <row r="48" spans="4:10" ht="19.5" thickBot="1" x14ac:dyDescent="0.45">
      <c r="D48" s="241" t="s">
        <v>177</v>
      </c>
      <c r="E48" s="255"/>
      <c r="F48" s="242"/>
    </row>
    <row r="49" spans="4:10" ht="18.75" x14ac:dyDescent="0.4">
      <c r="D49" s="13" t="s">
        <v>164</v>
      </c>
      <c r="E49" s="80">
        <v>0</v>
      </c>
      <c r="F49" s="76">
        <f>NPV(E49,'FLUJO DE CAJA'!G27:J27)</f>
        <v>1235222021.6542807</v>
      </c>
    </row>
    <row r="50" spans="4:10" ht="18.75" x14ac:dyDescent="0.4">
      <c r="D50" s="5" t="s">
        <v>85</v>
      </c>
      <c r="E50" s="81">
        <f>'CREDITO Y TASAS'!J22</f>
        <v>0.160387</v>
      </c>
      <c r="F50" s="82">
        <f>NPV(E50,'FLUJO DE CAJA'!G27:J27)</f>
        <v>789868604.5699023</v>
      </c>
    </row>
    <row r="51" spans="4:10" ht="19.5" thickBot="1" x14ac:dyDescent="0.45">
      <c r="D51" s="6" t="s">
        <v>174</v>
      </c>
      <c r="E51" s="83">
        <f>G40</f>
        <v>0.79310475504385192</v>
      </c>
      <c r="F51" s="77">
        <f>NPV(E51,'FLUJO DE CAJA'!G27:J27)</f>
        <v>244282494.23325971</v>
      </c>
    </row>
    <row r="55" spans="4:10" ht="18.75" x14ac:dyDescent="0.4">
      <c r="I55" s="110"/>
      <c r="J55" s="84"/>
    </row>
    <row r="68" spans="4:9" ht="15.75" thickBot="1" x14ac:dyDescent="0.3"/>
    <row r="69" spans="4:9" ht="19.5" thickBot="1" x14ac:dyDescent="0.45">
      <c r="D69" s="241" t="s">
        <v>176</v>
      </c>
      <c r="E69" s="255"/>
      <c r="F69" s="242"/>
    </row>
    <row r="70" spans="4:9" ht="18.75" x14ac:dyDescent="0.4">
      <c r="D70" s="13" t="s">
        <v>164</v>
      </c>
      <c r="E70" s="80">
        <v>0</v>
      </c>
      <c r="F70" s="76">
        <f>NPV(E70,'FLUJO DE CAJA'!N27:Q27)</f>
        <v>800213830.62370658</v>
      </c>
    </row>
    <row r="71" spans="4:9" ht="18.75" x14ac:dyDescent="0.4">
      <c r="D71" s="5" t="s">
        <v>80</v>
      </c>
      <c r="E71" s="81">
        <f>'CREDITO Y TASAS'!C22</f>
        <v>0.15000000000000002</v>
      </c>
      <c r="F71" s="82">
        <f>NPV(E71,'FLUJO DE CAJA'!N27:Q27)</f>
        <v>778902666.30666506</v>
      </c>
    </row>
    <row r="72" spans="4:9" ht="19.5" thickBot="1" x14ac:dyDescent="0.45">
      <c r="D72" s="6" t="s">
        <v>174</v>
      </c>
      <c r="E72" s="83">
        <f>J40</f>
        <v>0</v>
      </c>
      <c r="F72" s="77">
        <f>NPV(E72,'FLUJO DE CAJA'!N27:Q27)</f>
        <v>800213830.62370658</v>
      </c>
    </row>
    <row r="75" spans="4:9" ht="15.75" thickBot="1" x14ac:dyDescent="0.3"/>
    <row r="76" spans="4:9" ht="19.5" thickBot="1" x14ac:dyDescent="0.45">
      <c r="I76" s="85" t="s">
        <v>178</v>
      </c>
    </row>
  </sheetData>
  <mergeCells count="15">
    <mergeCell ref="F2:G2"/>
    <mergeCell ref="F7:G11"/>
    <mergeCell ref="I2:J2"/>
    <mergeCell ref="I7:J11"/>
    <mergeCell ref="F13:G13"/>
    <mergeCell ref="I13:J13"/>
    <mergeCell ref="A17:B21"/>
    <mergeCell ref="F39:G39"/>
    <mergeCell ref="I39:J39"/>
    <mergeCell ref="D48:F48"/>
    <mergeCell ref="D69:F69"/>
    <mergeCell ref="F18:G22"/>
    <mergeCell ref="I18:J22"/>
    <mergeCell ref="F25:G25"/>
    <mergeCell ref="I25:J25"/>
  </mergeCells>
  <pageMargins left="0.7" right="0.7" top="0.75" bottom="0.75" header="0.3" footer="0.3"/>
  <pageSetup paperSize="0" orientation="portrait" horizontalDpi="0" verticalDpi="0" copie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54"/>
  <sheetViews>
    <sheetView zoomScale="80" zoomScaleNormal="80" workbookViewId="0">
      <selection activeCell="G43" sqref="G43"/>
    </sheetView>
  </sheetViews>
  <sheetFormatPr baseColWidth="10" defaultRowHeight="15" x14ac:dyDescent="0.25"/>
  <cols>
    <col min="2" max="2" width="40.5703125" customWidth="1"/>
    <col min="3" max="3" width="40" customWidth="1"/>
    <col min="4" max="4" width="37.42578125" customWidth="1"/>
    <col min="5" max="5" width="26.7109375" customWidth="1"/>
    <col min="6" max="6" width="22.85546875" customWidth="1"/>
    <col min="7" max="7" width="25.5703125" customWidth="1"/>
    <col min="8" max="8" width="23.28515625" customWidth="1"/>
    <col min="9" max="9" width="24.7109375" customWidth="1"/>
    <col min="10" max="10" width="20.140625" customWidth="1"/>
    <col min="11" max="11" width="16.5703125" customWidth="1"/>
  </cols>
  <sheetData>
    <row r="1" spans="3:8" ht="15.75" thickBot="1" x14ac:dyDescent="0.3"/>
    <row r="2" spans="3:8" ht="19.5" thickBot="1" x14ac:dyDescent="0.45">
      <c r="C2" s="238" t="s">
        <v>181</v>
      </c>
      <c r="D2" s="240"/>
      <c r="E2" s="240"/>
      <c r="F2" s="240"/>
      <c r="G2" s="240"/>
      <c r="H2" s="239"/>
    </row>
    <row r="3" spans="3:8" ht="18.75" x14ac:dyDescent="0.4">
      <c r="C3" s="20" t="s">
        <v>182</v>
      </c>
      <c r="D3" s="26" t="s">
        <v>138</v>
      </c>
      <c r="E3" s="26" t="s">
        <v>139</v>
      </c>
      <c r="F3" s="26" t="s">
        <v>140</v>
      </c>
      <c r="G3" s="26" t="s">
        <v>141</v>
      </c>
      <c r="H3" s="27" t="s">
        <v>142</v>
      </c>
    </row>
    <row r="4" spans="3:8" ht="18.75" x14ac:dyDescent="0.4">
      <c r="C4" s="5" t="s">
        <v>183</v>
      </c>
      <c r="D4" s="95">
        <v>0</v>
      </c>
      <c r="E4" s="95"/>
      <c r="F4" s="95"/>
      <c r="G4" s="95"/>
      <c r="H4" s="96"/>
    </row>
    <row r="5" spans="3:8" ht="18.75" x14ac:dyDescent="0.4">
      <c r="C5" s="5" t="s">
        <v>184</v>
      </c>
      <c r="D5" s="95">
        <f>'BALANCE CON Y SIN'!M7</f>
        <v>210960600</v>
      </c>
      <c r="E5" s="95"/>
      <c r="F5" s="95"/>
      <c r="G5" s="95"/>
      <c r="H5" s="96"/>
    </row>
    <row r="6" spans="3:8" ht="18.75" x14ac:dyDescent="0.4">
      <c r="C6" s="5" t="s">
        <v>185</v>
      </c>
      <c r="D6" s="95">
        <f>'BALANCE CON Y SIN'!F20</f>
        <v>0</v>
      </c>
      <c r="E6" s="95"/>
      <c r="F6" s="95"/>
      <c r="G6" s="95"/>
      <c r="H6" s="96"/>
    </row>
    <row r="7" spans="3:8" ht="18.75" x14ac:dyDescent="0.4">
      <c r="C7" s="5" t="s">
        <v>186</v>
      </c>
      <c r="D7" s="95">
        <f>SUM(D4:D6)</f>
        <v>210960600</v>
      </c>
      <c r="E7" s="95"/>
      <c r="F7" s="95"/>
      <c r="G7" s="95"/>
      <c r="H7" s="96"/>
    </row>
    <row r="8" spans="3:8" ht="18.75" x14ac:dyDescent="0.4">
      <c r="C8" s="5" t="s">
        <v>187</v>
      </c>
      <c r="D8" s="95">
        <f>D7*0.5</f>
        <v>105480300</v>
      </c>
      <c r="E8" s="95"/>
      <c r="F8" s="95"/>
      <c r="G8" s="95"/>
      <c r="H8" s="96"/>
    </row>
    <row r="9" spans="3:8" ht="18.75" x14ac:dyDescent="0.4">
      <c r="C9" s="5" t="s">
        <v>188</v>
      </c>
      <c r="D9" s="95">
        <f>D7-D8</f>
        <v>105480300</v>
      </c>
      <c r="E9" s="95"/>
      <c r="F9" s="95"/>
      <c r="G9" s="95"/>
      <c r="H9" s="96"/>
    </row>
    <row r="10" spans="3:8" ht="18.75" x14ac:dyDescent="0.4">
      <c r="C10" s="5" t="s">
        <v>189</v>
      </c>
      <c r="D10" s="95"/>
      <c r="E10" s="95"/>
      <c r="F10" s="95"/>
      <c r="G10" s="95"/>
      <c r="H10" s="96"/>
    </row>
    <row r="11" spans="3:8" ht="18.75" x14ac:dyDescent="0.4">
      <c r="C11" s="5" t="s">
        <v>92</v>
      </c>
      <c r="D11" s="95"/>
      <c r="E11" s="95">
        <f>INGRESOS!F8</f>
        <v>367056000</v>
      </c>
      <c r="F11" s="95">
        <f>INGRESOS!G8</f>
        <v>436128598.07999998</v>
      </c>
      <c r="G11" s="95">
        <f>INGRESOS!H8</f>
        <v>518199277.6666944</v>
      </c>
      <c r="H11" s="96">
        <f>INGRESOS!I8</f>
        <v>615714017.73801291</v>
      </c>
    </row>
    <row r="12" spans="3:8" ht="18.75" x14ac:dyDescent="0.4">
      <c r="C12" s="5" t="s">
        <v>190</v>
      </c>
      <c r="D12" s="95"/>
      <c r="E12" s="95">
        <f>E11</f>
        <v>367056000</v>
      </c>
      <c r="F12" s="95">
        <f t="shared" ref="F12:H12" si="0">F11</f>
        <v>436128598.07999998</v>
      </c>
      <c r="G12" s="95">
        <f t="shared" si="0"/>
        <v>518199277.6666944</v>
      </c>
      <c r="H12" s="96">
        <f t="shared" si="0"/>
        <v>615714017.73801291</v>
      </c>
    </row>
    <row r="13" spans="3:8" ht="18.75" x14ac:dyDescent="0.4">
      <c r="C13" s="5" t="s">
        <v>191</v>
      </c>
      <c r="D13" s="95"/>
      <c r="E13" s="95"/>
      <c r="F13" s="95"/>
      <c r="G13" s="95"/>
      <c r="H13" s="96"/>
    </row>
    <row r="14" spans="3:8" ht="18.75" x14ac:dyDescent="0.4">
      <c r="C14" s="5" t="s">
        <v>192</v>
      </c>
      <c r="D14" s="95"/>
      <c r="E14" s="95">
        <f>INVERSION!K15</f>
        <v>50100000</v>
      </c>
      <c r="F14" s="95">
        <f>E14</f>
        <v>50100000</v>
      </c>
      <c r="G14" s="95">
        <f t="shared" ref="G14:H15" si="1">F14</f>
        <v>50100000</v>
      </c>
      <c r="H14" s="96">
        <f t="shared" si="1"/>
        <v>50100000</v>
      </c>
    </row>
    <row r="15" spans="3:8" ht="18.75" x14ac:dyDescent="0.4">
      <c r="C15" s="5" t="s">
        <v>193</v>
      </c>
      <c r="D15" s="95"/>
      <c r="E15" s="95">
        <f>1000000</f>
        <v>1000000</v>
      </c>
      <c r="F15" s="95">
        <f>E15</f>
        <v>1000000</v>
      </c>
      <c r="G15" s="95">
        <f t="shared" si="1"/>
        <v>1000000</v>
      </c>
      <c r="H15" s="96">
        <f t="shared" si="1"/>
        <v>1000000</v>
      </c>
    </row>
    <row r="16" spans="3:8" ht="18.75" x14ac:dyDescent="0.4">
      <c r="C16" s="5" t="s">
        <v>194</v>
      </c>
      <c r="D16" s="95"/>
      <c r="E16" s="95">
        <f>COSTOS!C36</f>
        <v>111035343.97558337</v>
      </c>
      <c r="F16" s="95">
        <f>COSTOS!D36</f>
        <v>117584388.61070287</v>
      </c>
      <c r="G16" s="95">
        <f>COSTOS!E36</f>
        <v>124538851.04123802</v>
      </c>
      <c r="H16" s="96">
        <f>COSTOS!F36</f>
        <v>131916303.60329992</v>
      </c>
    </row>
    <row r="17" spans="2:10" ht="18.75" x14ac:dyDescent="0.4">
      <c r="C17" s="5" t="s">
        <v>195</v>
      </c>
      <c r="D17" s="95"/>
      <c r="E17" s="95"/>
      <c r="F17" s="95"/>
      <c r="G17" s="95"/>
      <c r="H17" s="96"/>
    </row>
    <row r="18" spans="2:10" ht="18.75" x14ac:dyDescent="0.4">
      <c r="C18" s="5" t="s">
        <v>196</v>
      </c>
      <c r="D18" s="95"/>
      <c r="E18" s="95">
        <f>'GASTOS OPERATIVOS'!E12</f>
        <v>133149617.70926827</v>
      </c>
      <c r="F18" s="95">
        <f>'GASTOS OPERATIVOS'!F12</f>
        <v>139803798.59473166</v>
      </c>
      <c r="G18" s="95">
        <f>'GASTOS OPERATIVOS'!G12</f>
        <v>146791041.20446828</v>
      </c>
      <c r="H18" s="96">
        <f>'GASTOS OPERATIVOS'!H12</f>
        <v>154128037.55408368</v>
      </c>
    </row>
    <row r="19" spans="2:10" ht="18.75" x14ac:dyDescent="0.4">
      <c r="C19" s="5" t="s">
        <v>197</v>
      </c>
      <c r="D19" s="95"/>
      <c r="E19" s="95">
        <f>'GASTOS OPERATIVOS'!E21</f>
        <v>33800000</v>
      </c>
      <c r="F19" s="95">
        <f>'GASTOS OPERATIVOS'!F21</f>
        <v>36166000</v>
      </c>
      <c r="G19" s="95">
        <f>'GASTOS OPERATIVOS'!G21</f>
        <v>38697620</v>
      </c>
      <c r="H19" s="96">
        <f>'GASTOS OPERATIVOS'!H21</f>
        <v>41406453.400000006</v>
      </c>
    </row>
    <row r="20" spans="2:10" ht="18.75" x14ac:dyDescent="0.4">
      <c r="C20" s="5" t="s">
        <v>198</v>
      </c>
      <c r="D20" s="95"/>
      <c r="E20" s="95">
        <f>SUM(E18:E19)</f>
        <v>166949617.70926827</v>
      </c>
      <c r="F20" s="95">
        <f>SUM(F18:F19)</f>
        <v>175969798.59473166</v>
      </c>
      <c r="G20" s="95">
        <f>SUM(G18:G19)</f>
        <v>185488661.20446828</v>
      </c>
      <c r="H20" s="96">
        <f>SUM(H18:H19)</f>
        <v>195534490.95408368</v>
      </c>
    </row>
    <row r="21" spans="2:10" ht="18.75" x14ac:dyDescent="0.4">
      <c r="C21" s="5" t="s">
        <v>199</v>
      </c>
      <c r="D21" s="95"/>
      <c r="E21" s="95">
        <f>'FLUJO DE CAJA'!G19</f>
        <v>0</v>
      </c>
      <c r="F21" s="95">
        <f>'FLUJO DE CAJA'!H19</f>
        <v>0</v>
      </c>
      <c r="G21" s="95">
        <f>'FLUJO DE CAJA'!I19</f>
        <v>0</v>
      </c>
      <c r="H21" s="96">
        <f>'FLUJO DE CAJA'!J19</f>
        <v>0</v>
      </c>
    </row>
    <row r="22" spans="2:10" ht="18.75" x14ac:dyDescent="0.4">
      <c r="C22" s="5" t="s">
        <v>200</v>
      </c>
      <c r="D22" s="95"/>
      <c r="E22" s="95">
        <f>E12-E14-E15-E16-E20-E21</f>
        <v>37971038.315148354</v>
      </c>
      <c r="F22" s="95">
        <f>F12-F14-F15-F16-F20-F21</f>
        <v>91474410.874565452</v>
      </c>
      <c r="G22" s="95">
        <f>G12-G14-G15-G16-G20-G21</f>
        <v>157071765.42098811</v>
      </c>
      <c r="H22" s="96">
        <f>H12-H14-H15-H16-H20-H21</f>
        <v>237163223.18062931</v>
      </c>
    </row>
    <row r="23" spans="2:10" ht="18.75" x14ac:dyDescent="0.4">
      <c r="C23" s="5" t="s">
        <v>207</v>
      </c>
      <c r="D23" s="95"/>
      <c r="E23" s="95">
        <f>E22*0.34</f>
        <v>12910153.027150441</v>
      </c>
      <c r="F23" s="95">
        <f>F22*0.34</f>
        <v>31101299.697352257</v>
      </c>
      <c r="G23" s="95">
        <f>G22*0.34</f>
        <v>53404400.243135959</v>
      </c>
      <c r="H23" s="96">
        <f>H22*0.34</f>
        <v>80635495.881413966</v>
      </c>
    </row>
    <row r="24" spans="2:10" ht="18.75" x14ac:dyDescent="0.4">
      <c r="C24" s="5" t="s">
        <v>201</v>
      </c>
      <c r="D24" s="95"/>
      <c r="E24" s="95">
        <f>E22-E23</f>
        <v>25060885.287997913</v>
      </c>
      <c r="F24" s="95">
        <f t="shared" ref="F24:H24" si="2">F22-F23</f>
        <v>60373111.177213192</v>
      </c>
      <c r="G24" s="95">
        <f t="shared" si="2"/>
        <v>103667365.17785215</v>
      </c>
      <c r="H24" s="96">
        <f t="shared" si="2"/>
        <v>156527727.29921535</v>
      </c>
    </row>
    <row r="25" spans="2:10" ht="18.75" x14ac:dyDescent="0.4">
      <c r="C25" s="5" t="s">
        <v>202</v>
      </c>
      <c r="D25" s="95"/>
      <c r="E25" s="95">
        <f t="shared" ref="E25:H26" si="3">E14</f>
        <v>50100000</v>
      </c>
      <c r="F25" s="95">
        <f t="shared" si="3"/>
        <v>50100000</v>
      </c>
      <c r="G25" s="95">
        <f t="shared" si="3"/>
        <v>50100000</v>
      </c>
      <c r="H25" s="96">
        <f t="shared" si="3"/>
        <v>50100000</v>
      </c>
    </row>
    <row r="26" spans="2:10" ht="18.75" x14ac:dyDescent="0.4">
      <c r="C26" s="5" t="s">
        <v>203</v>
      </c>
      <c r="D26" s="95"/>
      <c r="E26" s="95">
        <f t="shared" si="3"/>
        <v>1000000</v>
      </c>
      <c r="F26" s="95">
        <f t="shared" si="3"/>
        <v>1000000</v>
      </c>
      <c r="G26" s="95">
        <f t="shared" si="3"/>
        <v>1000000</v>
      </c>
      <c r="H26" s="96">
        <f t="shared" si="3"/>
        <v>1000000</v>
      </c>
    </row>
    <row r="27" spans="2:10" ht="18.75" x14ac:dyDescent="0.4">
      <c r="C27" s="5" t="s">
        <v>204</v>
      </c>
      <c r="D27" s="95"/>
      <c r="E27" s="95">
        <f>E24+E25+E26</f>
        <v>76160885.287997916</v>
      </c>
      <c r="F27" s="95">
        <f t="shared" ref="F27:H27" si="4">F24+F25+F26</f>
        <v>111473111.17721319</v>
      </c>
      <c r="G27" s="95">
        <f t="shared" si="4"/>
        <v>154767365.17785215</v>
      </c>
      <c r="H27" s="96">
        <f t="shared" si="4"/>
        <v>207627727.29921535</v>
      </c>
    </row>
    <row r="28" spans="2:10" ht="18.75" x14ac:dyDescent="0.4">
      <c r="C28" s="5" t="s">
        <v>205</v>
      </c>
      <c r="D28" s="95"/>
      <c r="E28" s="95">
        <f>'CREDITO Y TASAS'!$I$12</f>
        <v>56977950</v>
      </c>
      <c r="F28" s="95">
        <f>'CREDITO Y TASAS'!$I$12</f>
        <v>56977950</v>
      </c>
      <c r="G28" s="95">
        <f>'CREDITO Y TASAS'!$I$12</f>
        <v>56977950</v>
      </c>
      <c r="H28" s="96">
        <f>'CREDITO Y TASAS'!$I$12</f>
        <v>56977950</v>
      </c>
    </row>
    <row r="29" spans="2:10" ht="19.5" thickBot="1" x14ac:dyDescent="0.45">
      <c r="C29" s="64" t="s">
        <v>206</v>
      </c>
      <c r="D29" s="97">
        <f>D9*-1</f>
        <v>-105480300</v>
      </c>
      <c r="E29" s="97">
        <f>E27-E28</f>
        <v>19182935.287997916</v>
      </c>
      <c r="F29" s="97">
        <f t="shared" ref="F29:H29" si="5">F27-F28</f>
        <v>54495161.177213192</v>
      </c>
      <c r="G29" s="97">
        <f t="shared" si="5"/>
        <v>97789415.177852154</v>
      </c>
      <c r="H29" s="98">
        <f t="shared" si="5"/>
        <v>150649777.29921535</v>
      </c>
    </row>
    <row r="31" spans="2:10" ht="15.75" thickBot="1" x14ac:dyDescent="0.3"/>
    <row r="32" spans="2:10" ht="19.5" thickBot="1" x14ac:dyDescent="0.45">
      <c r="B32" s="88" t="s">
        <v>179</v>
      </c>
      <c r="C32" s="89"/>
      <c r="D32" s="89"/>
      <c r="E32" s="89"/>
      <c r="F32" s="89"/>
      <c r="G32" s="89"/>
      <c r="H32" s="89"/>
      <c r="I32" s="89"/>
      <c r="J32" s="90"/>
    </row>
    <row r="33" spans="2:10" ht="18.75" x14ac:dyDescent="0.4">
      <c r="B33" s="91" t="s">
        <v>180</v>
      </c>
      <c r="C33" s="92" t="s">
        <v>138</v>
      </c>
      <c r="D33" s="92" t="s">
        <v>139</v>
      </c>
      <c r="E33" s="92" t="s">
        <v>140</v>
      </c>
      <c r="F33" s="92" t="s">
        <v>141</v>
      </c>
      <c r="G33" s="92" t="s">
        <v>142</v>
      </c>
      <c r="H33" s="92" t="s">
        <v>85</v>
      </c>
      <c r="I33" s="92" t="s">
        <v>164</v>
      </c>
      <c r="J33" s="93" t="s">
        <v>174</v>
      </c>
    </row>
    <row r="34" spans="2:10" ht="18.75" x14ac:dyDescent="0.4">
      <c r="B34" s="102">
        <f t="shared" ref="B34:B40" si="6">B35-2%</f>
        <v>-0.151</v>
      </c>
      <c r="C34" s="100">
        <f>$D$7</f>
        <v>210960600</v>
      </c>
      <c r="D34" s="86">
        <f>((((100%-B34)*$E$11)-$E$14-$E$15-$E$16-$E$20-$E$21)*0.66)+$E$25+$E$26+$E$28</f>
        <v>169719636.24799791</v>
      </c>
      <c r="E34" s="86">
        <f>((((100%-B34)*$F$11)-$F$14-$F$15-$F$16-$F$20-$F$21)*0.66)+$F$25+$F$26+$F$28</f>
        <v>211915637.261866</v>
      </c>
      <c r="F34" s="86">
        <f>((((100%-B34)*$G$11)-$G$14-$G$15-$G$16-$G$20-$G$21)*0.66)+$G$25+$G$26+$G$28</f>
        <v>263389055.19011492</v>
      </c>
      <c r="G34" s="86">
        <f>((((100%-B34)*$H$11)-$H$14-$H$15-$H$16-$H$20-$H$21)*0.66)+$H$25+$H$26+$H$28</f>
        <v>325967736.30698574</v>
      </c>
      <c r="H34" s="99">
        <f>'CREDITO Y TASAS'!$J$22</f>
        <v>0.160387</v>
      </c>
      <c r="I34" s="87">
        <f>NPV(H34,D34:G34)</f>
        <v>652006523.22793949</v>
      </c>
      <c r="J34" s="101" t="e">
        <f>IRR(C34:G34)</f>
        <v>#NUM!</v>
      </c>
    </row>
    <row r="35" spans="2:10" ht="18.75" x14ac:dyDescent="0.4">
      <c r="B35" s="102">
        <f t="shared" si="6"/>
        <v>-0.13100000000000001</v>
      </c>
      <c r="C35" s="100">
        <f t="shared" ref="C35:C54" si="7">$D$7</f>
        <v>210960600</v>
      </c>
      <c r="D35" s="86">
        <f t="shared" ref="D35:D54" si="8">((((100%-B35)*$E$11)-$E$14-$E$15-$E$16-$E$20-$E$21)*0.66)+$E$25+$E$26+$E$28</f>
        <v>164874497.04799792</v>
      </c>
      <c r="E35" s="86">
        <f t="shared" ref="E35:E54" si="9">((((100%-B35)*$F$11)-$F$14-$F$15-$F$16-$F$20-$F$21)*0.66)+$F$25+$F$26+$F$28</f>
        <v>206158739.76721001</v>
      </c>
      <c r="F35" s="86">
        <f t="shared" ref="F35:F54" si="10">((((100%-B35)*$G$11)-$G$14-$G$15-$G$16-$G$20-$G$21)*0.66)+$G$25+$G$26+$G$28</f>
        <v>256548824.72491455</v>
      </c>
      <c r="G35" s="86">
        <f t="shared" ref="G35:G54" si="11">((((100%-B35)*$H$11)-$H$14-$H$15-$H$16-$H$20-$H$21)*0.66)+$H$25+$H$26+$H$28</f>
        <v>317840311.27284396</v>
      </c>
      <c r="H35" s="99">
        <f>'CREDITO Y TASAS'!$J$22</f>
        <v>0.160387</v>
      </c>
      <c r="I35" s="87">
        <f t="shared" ref="I35:I54" si="12">NPV(H35,D35:G35)</f>
        <v>634695030.2752229</v>
      </c>
      <c r="J35" s="101" t="e">
        <f t="shared" ref="J35:J54" si="13">IRR(C35:G35)</f>
        <v>#NUM!</v>
      </c>
    </row>
    <row r="36" spans="2:10" ht="18.75" x14ac:dyDescent="0.4">
      <c r="B36" s="102">
        <f t="shared" si="6"/>
        <v>-0.11100000000000002</v>
      </c>
      <c r="C36" s="100">
        <f t="shared" si="7"/>
        <v>210960600</v>
      </c>
      <c r="D36" s="86">
        <f t="shared" si="8"/>
        <v>160029357.8479979</v>
      </c>
      <c r="E36" s="86">
        <f t="shared" si="9"/>
        <v>200401842.27255398</v>
      </c>
      <c r="F36" s="86">
        <f t="shared" si="10"/>
        <v>249708594.25971419</v>
      </c>
      <c r="G36" s="86">
        <f t="shared" si="11"/>
        <v>309712886.23870218</v>
      </c>
      <c r="H36" s="99">
        <f>'CREDITO Y TASAS'!$J$22</f>
        <v>0.160387</v>
      </c>
      <c r="I36" s="87">
        <f t="shared" si="12"/>
        <v>617383537.32250643</v>
      </c>
      <c r="J36" s="101" t="e">
        <f t="shared" si="13"/>
        <v>#NUM!</v>
      </c>
    </row>
    <row r="37" spans="2:10" ht="18.75" x14ac:dyDescent="0.4">
      <c r="B37" s="102">
        <f t="shared" si="6"/>
        <v>-9.1000000000000011E-2</v>
      </c>
      <c r="C37" s="100">
        <f t="shared" si="7"/>
        <v>210960600</v>
      </c>
      <c r="D37" s="86">
        <f t="shared" si="8"/>
        <v>155184218.64799792</v>
      </c>
      <c r="E37" s="86">
        <f t="shared" si="9"/>
        <v>194644944.77789798</v>
      </c>
      <c r="F37" s="86">
        <f t="shared" si="10"/>
        <v>242868363.79451382</v>
      </c>
      <c r="G37" s="86">
        <f t="shared" si="11"/>
        <v>301585461.2045604</v>
      </c>
      <c r="H37" s="99">
        <f>'CREDITO Y TASAS'!$J$22</f>
        <v>0.160387</v>
      </c>
      <c r="I37" s="87">
        <f t="shared" si="12"/>
        <v>600072044.36979008</v>
      </c>
      <c r="J37" s="101" t="e">
        <f t="shared" si="13"/>
        <v>#NUM!</v>
      </c>
    </row>
    <row r="38" spans="2:10" ht="18.75" x14ac:dyDescent="0.4">
      <c r="B38" s="102">
        <f t="shared" si="6"/>
        <v>-7.1000000000000008E-2</v>
      </c>
      <c r="C38" s="100">
        <f t="shared" si="7"/>
        <v>210960600</v>
      </c>
      <c r="D38" s="86">
        <f t="shared" si="8"/>
        <v>150339079.44799793</v>
      </c>
      <c r="E38" s="86">
        <f t="shared" si="9"/>
        <v>188888047.28324199</v>
      </c>
      <c r="F38" s="86">
        <f t="shared" si="10"/>
        <v>236028133.32931346</v>
      </c>
      <c r="G38" s="86">
        <f t="shared" si="11"/>
        <v>293458036.17041862</v>
      </c>
      <c r="H38" s="99">
        <f>'CREDITO Y TASAS'!$J$22</f>
        <v>0.160387</v>
      </c>
      <c r="I38" s="87">
        <f t="shared" si="12"/>
        <v>582760551.41707337</v>
      </c>
      <c r="J38" s="101" t="e">
        <f t="shared" si="13"/>
        <v>#NUM!</v>
      </c>
    </row>
    <row r="39" spans="2:10" ht="18.75" x14ac:dyDescent="0.4">
      <c r="B39" s="102">
        <f t="shared" si="6"/>
        <v>-5.1000000000000004E-2</v>
      </c>
      <c r="C39" s="100">
        <f t="shared" si="7"/>
        <v>210960600</v>
      </c>
      <c r="D39" s="86">
        <f t="shared" si="8"/>
        <v>145493940.24799791</v>
      </c>
      <c r="E39" s="86">
        <f t="shared" si="9"/>
        <v>183131149.78858596</v>
      </c>
      <c r="F39" s="86">
        <f t="shared" si="10"/>
        <v>229187902.86411303</v>
      </c>
      <c r="G39" s="86">
        <f t="shared" si="11"/>
        <v>285330611.13627684</v>
      </c>
      <c r="H39" s="99">
        <f>'CREDITO Y TASAS'!$J$22</f>
        <v>0.160387</v>
      </c>
      <c r="I39" s="87">
        <f t="shared" si="12"/>
        <v>565449058.4643569</v>
      </c>
      <c r="J39" s="101" t="e">
        <f t="shared" si="13"/>
        <v>#NUM!</v>
      </c>
    </row>
    <row r="40" spans="2:10" ht="18.75" x14ac:dyDescent="0.4">
      <c r="B40" s="102">
        <f t="shared" si="6"/>
        <v>-3.1E-2</v>
      </c>
      <c r="C40" s="100">
        <f t="shared" si="7"/>
        <v>210960600</v>
      </c>
      <c r="D40" s="86">
        <f t="shared" si="8"/>
        <v>140648801.04799789</v>
      </c>
      <c r="E40" s="86">
        <f t="shared" si="9"/>
        <v>177374252.29392999</v>
      </c>
      <c r="F40" s="86">
        <f t="shared" si="10"/>
        <v>222347672.39891273</v>
      </c>
      <c r="G40" s="86">
        <f t="shared" si="11"/>
        <v>277203186.10213506</v>
      </c>
      <c r="H40" s="99">
        <f>'CREDITO Y TASAS'!$J$22</f>
        <v>0.160387</v>
      </c>
      <c r="I40" s="87">
        <f t="shared" si="12"/>
        <v>548137565.51164043</v>
      </c>
      <c r="J40" s="101" t="e">
        <f t="shared" si="13"/>
        <v>#NUM!</v>
      </c>
    </row>
    <row r="41" spans="2:10" ht="18.75" x14ac:dyDescent="0.4">
      <c r="B41" s="102">
        <f>B42-1%</f>
        <v>-1.0999999999999999E-2</v>
      </c>
      <c r="C41" s="100">
        <f t="shared" si="7"/>
        <v>210960600</v>
      </c>
      <c r="D41" s="86">
        <f t="shared" si="8"/>
        <v>135803661.84799787</v>
      </c>
      <c r="E41" s="86">
        <f t="shared" si="9"/>
        <v>171617354.79927397</v>
      </c>
      <c r="F41" s="86">
        <f t="shared" si="10"/>
        <v>215507441.9337123</v>
      </c>
      <c r="G41" s="86">
        <f t="shared" si="11"/>
        <v>269075761.06799328</v>
      </c>
      <c r="H41" s="99">
        <f>'CREDITO Y TASAS'!$J$22</f>
        <v>0.160387</v>
      </c>
      <c r="I41" s="87">
        <f t="shared" si="12"/>
        <v>530826072.5589239</v>
      </c>
      <c r="J41" s="101" t="e">
        <f t="shared" si="13"/>
        <v>#NUM!</v>
      </c>
    </row>
    <row r="42" spans="2:10" ht="18.75" x14ac:dyDescent="0.4">
      <c r="B42" s="102">
        <v>-1E-3</v>
      </c>
      <c r="C42" s="100">
        <f t="shared" si="7"/>
        <v>210960600</v>
      </c>
      <c r="D42" s="86">
        <f t="shared" si="8"/>
        <v>133381092.24799788</v>
      </c>
      <c r="E42" s="86">
        <f t="shared" si="9"/>
        <v>168738906.05194598</v>
      </c>
      <c r="F42" s="86">
        <f t="shared" si="10"/>
        <v>212087326.70111215</v>
      </c>
      <c r="G42" s="86">
        <f t="shared" si="11"/>
        <v>265012048.55092242</v>
      </c>
      <c r="H42" s="99">
        <f>'CREDITO Y TASAS'!$J$22</f>
        <v>0.160387</v>
      </c>
      <c r="I42" s="87">
        <f t="shared" si="12"/>
        <v>522170326.08256567</v>
      </c>
      <c r="J42" s="101" t="e">
        <f t="shared" si="13"/>
        <v>#NUM!</v>
      </c>
    </row>
    <row r="43" spans="2:10" ht="18.75" x14ac:dyDescent="0.4">
      <c r="B43" s="94">
        <v>0</v>
      </c>
      <c r="C43" s="100">
        <f t="shared" si="7"/>
        <v>210960600</v>
      </c>
      <c r="D43" s="86">
        <f t="shared" si="8"/>
        <v>133138835.28799792</v>
      </c>
      <c r="E43" s="86">
        <f t="shared" si="9"/>
        <v>168451061.17721319</v>
      </c>
      <c r="F43" s="86">
        <f t="shared" si="10"/>
        <v>211745315.17785215</v>
      </c>
      <c r="G43" s="86">
        <f t="shared" si="11"/>
        <v>264605677.29921535</v>
      </c>
      <c r="H43" s="99">
        <f>'CREDITO Y TASAS'!$J$22</f>
        <v>0.160387</v>
      </c>
      <c r="I43" s="87">
        <f t="shared" si="12"/>
        <v>521304751.43492991</v>
      </c>
      <c r="J43" s="101" t="e">
        <f>IRR(C43:G43)</f>
        <v>#NUM!</v>
      </c>
    </row>
    <row r="44" spans="2:10" ht="18.75" x14ac:dyDescent="0.4">
      <c r="B44" s="102">
        <v>0.68</v>
      </c>
      <c r="C44" s="100">
        <f t="shared" si="7"/>
        <v>210960600</v>
      </c>
      <c r="D44" s="86">
        <f t="shared" si="8"/>
        <v>-31595897.512002081</v>
      </c>
      <c r="E44" s="86">
        <f t="shared" si="9"/>
        <v>-27283453.64109081</v>
      </c>
      <c r="F44" s="86">
        <f t="shared" si="10"/>
        <v>-20822520.638960347</v>
      </c>
      <c r="G44" s="86">
        <f t="shared" si="11"/>
        <v>-11726773.861604884</v>
      </c>
      <c r="H44" s="99">
        <f>'CREDITO Y TASAS'!$J$22</f>
        <v>0.160387</v>
      </c>
      <c r="I44" s="87">
        <f t="shared" si="12"/>
        <v>-67286008.957430869</v>
      </c>
      <c r="J44" s="101">
        <f t="shared" si="13"/>
        <v>-0.30077802400359777</v>
      </c>
    </row>
    <row r="45" spans="2:10" ht="18.75" x14ac:dyDescent="0.4">
      <c r="B45" s="102">
        <f>B44+0.1%</f>
        <v>0.68100000000000005</v>
      </c>
      <c r="C45" s="100">
        <f t="shared" si="7"/>
        <v>210960600</v>
      </c>
      <c r="D45" s="86">
        <f t="shared" si="8"/>
        <v>-31838154.472002089</v>
      </c>
      <c r="E45" s="86">
        <f t="shared" si="9"/>
        <v>-27571298.515823632</v>
      </c>
      <c r="F45" s="86">
        <f t="shared" si="10"/>
        <v>-21164532.162220359</v>
      </c>
      <c r="G45" s="86">
        <f t="shared" si="11"/>
        <v>-12133145.113311976</v>
      </c>
      <c r="H45" s="99">
        <f>'CREDITO Y TASAS'!$J$22</f>
        <v>0.160387</v>
      </c>
      <c r="I45" s="87">
        <f t="shared" si="12"/>
        <v>-68151583.605066717</v>
      </c>
      <c r="J45" s="101">
        <f t="shared" si="13"/>
        <v>-0.29606860441947802</v>
      </c>
    </row>
    <row r="46" spans="2:10" ht="18.75" x14ac:dyDescent="0.4">
      <c r="B46" s="102">
        <f t="shared" ref="B46:B54" si="14">B45+0.1%</f>
        <v>0.68200000000000005</v>
      </c>
      <c r="C46" s="100">
        <f t="shared" si="7"/>
        <v>210960600</v>
      </c>
      <c r="D46" s="86">
        <f t="shared" si="8"/>
        <v>-32080411.432002097</v>
      </c>
      <c r="E46" s="86">
        <f t="shared" si="9"/>
        <v>-27859143.390556395</v>
      </c>
      <c r="F46" s="86">
        <f t="shared" si="10"/>
        <v>-21506543.685480371</v>
      </c>
      <c r="G46" s="86">
        <f t="shared" si="11"/>
        <v>-12539516.365019053</v>
      </c>
      <c r="H46" s="99">
        <f>'CREDITO Y TASAS'!$J$22</f>
        <v>0.160387</v>
      </c>
      <c r="I46" s="87">
        <f t="shared" si="12"/>
        <v>-69017158.252702504</v>
      </c>
      <c r="J46" s="101">
        <f t="shared" si="13"/>
        <v>-0.29142824529509337</v>
      </c>
    </row>
    <row r="47" spans="2:10" ht="18.75" x14ac:dyDescent="0.4">
      <c r="B47" s="102">
        <f t="shared" si="14"/>
        <v>0.68300000000000005</v>
      </c>
      <c r="C47" s="100">
        <f t="shared" si="7"/>
        <v>210960600</v>
      </c>
      <c r="D47" s="86">
        <f t="shared" si="8"/>
        <v>-32322668.392002106</v>
      </c>
      <c r="E47" s="86">
        <f t="shared" si="9"/>
        <v>-28146988.265289217</v>
      </c>
      <c r="F47" s="86">
        <f t="shared" si="10"/>
        <v>-21848555.208740383</v>
      </c>
      <c r="G47" s="86">
        <f t="shared" si="11"/>
        <v>-12945887.616726145</v>
      </c>
      <c r="H47" s="99">
        <f>'CREDITO Y TASAS'!$J$22</f>
        <v>0.160387</v>
      </c>
      <c r="I47" s="87">
        <f t="shared" si="12"/>
        <v>-69882732.900338352</v>
      </c>
      <c r="J47" s="101">
        <f t="shared" si="13"/>
        <v>-0.28685404242337131</v>
      </c>
    </row>
    <row r="48" spans="2:10" ht="18.75" x14ac:dyDescent="0.4">
      <c r="B48" s="102">
        <f t="shared" si="14"/>
        <v>0.68400000000000005</v>
      </c>
      <c r="C48" s="100">
        <f t="shared" si="7"/>
        <v>210960600</v>
      </c>
      <c r="D48" s="86">
        <f t="shared" si="8"/>
        <v>-32564925.352002084</v>
      </c>
      <c r="E48" s="86">
        <f t="shared" si="9"/>
        <v>-28434833.14002201</v>
      </c>
      <c r="F48" s="86">
        <f t="shared" si="10"/>
        <v>-22190566.732000396</v>
      </c>
      <c r="G48" s="86">
        <f t="shared" si="11"/>
        <v>-13352258.868433237</v>
      </c>
      <c r="H48" s="99">
        <f>'CREDITO Y TASAS'!$J$22</f>
        <v>0.160387</v>
      </c>
      <c r="I48" s="87">
        <f t="shared" si="12"/>
        <v>-70748307.547974154</v>
      </c>
      <c r="J48" s="101">
        <f t="shared" si="13"/>
        <v>-0.28234328261172659</v>
      </c>
    </row>
    <row r="49" spans="2:10" ht="18.75" x14ac:dyDescent="0.4">
      <c r="B49" s="102">
        <f t="shared" si="14"/>
        <v>0.68500000000000005</v>
      </c>
      <c r="C49" s="100">
        <f t="shared" si="7"/>
        <v>210960600</v>
      </c>
      <c r="D49" s="86">
        <f t="shared" si="8"/>
        <v>-32807182.312002093</v>
      </c>
      <c r="E49" s="86">
        <f t="shared" si="9"/>
        <v>-28722678.014754802</v>
      </c>
      <c r="F49" s="86">
        <f t="shared" si="10"/>
        <v>-22532578.255260408</v>
      </c>
      <c r="G49" s="86">
        <f t="shared" si="11"/>
        <v>-13758630.120140314</v>
      </c>
      <c r="H49" s="99">
        <f>'CREDITO Y TASAS'!$J$22</f>
        <v>0.160387</v>
      </c>
      <c r="I49" s="87">
        <f t="shared" si="12"/>
        <v>-71613882.195609972</v>
      </c>
      <c r="J49" s="101">
        <f>IRR(C49:G49)</f>
        <v>-0.2778934267611245</v>
      </c>
    </row>
    <row r="50" spans="2:10" ht="18.75" x14ac:dyDescent="0.4">
      <c r="B50" s="102">
        <f t="shared" si="14"/>
        <v>0.68600000000000005</v>
      </c>
      <c r="C50" s="100">
        <f t="shared" si="7"/>
        <v>210960600</v>
      </c>
      <c r="D50" s="86">
        <f t="shared" si="8"/>
        <v>-33049439.272002101</v>
      </c>
      <c r="E50" s="86">
        <f t="shared" si="9"/>
        <v>-29010522.889487624</v>
      </c>
      <c r="F50" s="86">
        <f t="shared" si="10"/>
        <v>-22874589.77852042</v>
      </c>
      <c r="G50" s="86">
        <f t="shared" si="11"/>
        <v>-14165001.371847391</v>
      </c>
      <c r="H50" s="99">
        <f>'CREDITO Y TASAS'!$J$22</f>
        <v>0.160387</v>
      </c>
      <c r="I50" s="87">
        <f t="shared" si="12"/>
        <v>-72479456.843245819</v>
      </c>
      <c r="J50" s="101">
        <f t="shared" si="13"/>
        <v>-0.27350209481290733</v>
      </c>
    </row>
    <row r="51" spans="2:10" ht="18.75" x14ac:dyDescent="0.4">
      <c r="B51" s="102">
        <f t="shared" si="14"/>
        <v>0.68700000000000006</v>
      </c>
      <c r="C51" s="100">
        <f t="shared" si="7"/>
        <v>210960600</v>
      </c>
      <c r="D51" s="86">
        <f t="shared" si="8"/>
        <v>-33291696.232002079</v>
      </c>
      <c r="E51" s="86">
        <f t="shared" si="9"/>
        <v>-29298367.764220417</v>
      </c>
      <c r="F51" s="86">
        <f t="shared" si="10"/>
        <v>-23216601.301780432</v>
      </c>
      <c r="G51" s="86">
        <f t="shared" si="11"/>
        <v>-14571372.623554483</v>
      </c>
      <c r="H51" s="99">
        <f>'CREDITO Y TASAS'!$J$22</f>
        <v>0.160387</v>
      </c>
      <c r="I51" s="87">
        <f t="shared" si="12"/>
        <v>-73345031.490881592</v>
      </c>
      <c r="J51" s="101">
        <f t="shared" si="13"/>
        <v>-0.26916705231832527</v>
      </c>
    </row>
    <row r="52" spans="2:10" ht="18.75" x14ac:dyDescent="0.4">
      <c r="B52" s="102">
        <f t="shared" si="14"/>
        <v>0.68800000000000006</v>
      </c>
      <c r="C52" s="100">
        <f t="shared" si="7"/>
        <v>210960600</v>
      </c>
      <c r="D52" s="86">
        <f t="shared" si="8"/>
        <v>-33533953.192002088</v>
      </c>
      <c r="E52" s="86">
        <f t="shared" si="9"/>
        <v>-29586212.638953239</v>
      </c>
      <c r="F52" s="86">
        <f t="shared" si="10"/>
        <v>-23558612.825040489</v>
      </c>
      <c r="G52" s="86">
        <f t="shared" si="11"/>
        <v>-14977743.875261575</v>
      </c>
      <c r="H52" s="99">
        <f>'CREDITO Y TASAS'!$J$22</f>
        <v>0.160387</v>
      </c>
      <c r="I52" s="87">
        <f t="shared" si="12"/>
        <v>-74210606.138517469</v>
      </c>
      <c r="J52" s="101">
        <f t="shared" si="13"/>
        <v>-0.26488619842274941</v>
      </c>
    </row>
    <row r="53" spans="2:10" ht="18.75" x14ac:dyDescent="0.4">
      <c r="B53" s="102">
        <f t="shared" si="14"/>
        <v>0.68900000000000006</v>
      </c>
      <c r="C53" s="100">
        <f t="shared" si="7"/>
        <v>210960600</v>
      </c>
      <c r="D53" s="86">
        <f t="shared" si="8"/>
        <v>-33776210.152002096</v>
      </c>
      <c r="E53" s="86">
        <f t="shared" si="9"/>
        <v>-29874057.513686001</v>
      </c>
      <c r="F53" s="86">
        <f t="shared" si="10"/>
        <v>-23900624.348300502</v>
      </c>
      <c r="G53" s="86">
        <f t="shared" si="11"/>
        <v>-15384115.126968667</v>
      </c>
      <c r="H53" s="99">
        <f>'CREDITO Y TASAS'!$J$22</f>
        <v>0.160387</v>
      </c>
      <c r="I53" s="87">
        <f t="shared" si="12"/>
        <v>-75076180.786153287</v>
      </c>
      <c r="J53" s="101">
        <f t="shared" si="13"/>
        <v>-0.26065755508726574</v>
      </c>
    </row>
    <row r="54" spans="2:10" ht="18.75" x14ac:dyDescent="0.4">
      <c r="B54" s="102">
        <f t="shared" si="14"/>
        <v>0.69000000000000006</v>
      </c>
      <c r="C54" s="100">
        <f t="shared" si="7"/>
        <v>210960600</v>
      </c>
      <c r="D54" s="86">
        <f t="shared" si="8"/>
        <v>-34018467.112002105</v>
      </c>
      <c r="E54" s="86">
        <f t="shared" si="9"/>
        <v>-30161902.388418823</v>
      </c>
      <c r="F54" s="86">
        <f t="shared" si="10"/>
        <v>-24242635.871560514</v>
      </c>
      <c r="G54" s="86">
        <f t="shared" si="11"/>
        <v>-15790486.378675759</v>
      </c>
      <c r="H54" s="99">
        <f>'CREDITO Y TASAS'!$J$22</f>
        <v>0.160387</v>
      </c>
      <c r="I54" s="87">
        <f t="shared" si="12"/>
        <v>-75941755.433789134</v>
      </c>
      <c r="J54" s="101">
        <f t="shared" si="13"/>
        <v>-0.25647925739596511</v>
      </c>
    </row>
  </sheetData>
  <mergeCells count="1">
    <mergeCell ref="C2:H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5"/>
  <sheetViews>
    <sheetView zoomScale="90" zoomScaleNormal="90" workbookViewId="0">
      <selection activeCell="H69" sqref="H69"/>
    </sheetView>
  </sheetViews>
  <sheetFormatPr baseColWidth="10" defaultRowHeight="15" x14ac:dyDescent="0.25"/>
  <cols>
    <col min="1" max="1" width="11.42578125" style="21"/>
    <col min="2" max="2" width="39.5703125" customWidth="1"/>
    <col min="3" max="3" width="20.7109375" customWidth="1"/>
    <col min="4" max="4" width="22" customWidth="1"/>
    <col min="5" max="5" width="38.140625" customWidth="1"/>
    <col min="6" max="6" width="23.85546875" customWidth="1"/>
    <col min="7" max="7" width="23" customWidth="1"/>
    <col min="8" max="8" width="22.140625" customWidth="1"/>
    <col min="9" max="9" width="22.7109375" customWidth="1"/>
    <col min="10" max="10" width="9.42578125" customWidth="1"/>
    <col min="11" max="11" width="33.28515625" customWidth="1"/>
    <col min="12" max="12" width="11.42578125" customWidth="1"/>
  </cols>
  <sheetData>
    <row r="1" spans="2:12" ht="15.75" thickBot="1" x14ac:dyDescent="0.3"/>
    <row r="2" spans="2:12" ht="19.5" thickBot="1" x14ac:dyDescent="0.45">
      <c r="E2" s="219" t="s">
        <v>15</v>
      </c>
      <c r="F2" s="220"/>
      <c r="G2" s="220"/>
      <c r="H2" s="220"/>
      <c r="I2" s="221"/>
      <c r="K2" s="222" t="s">
        <v>13</v>
      </c>
      <c r="L2" s="223"/>
    </row>
    <row r="3" spans="2:12" ht="18.75" x14ac:dyDescent="0.4">
      <c r="E3" s="3" t="s">
        <v>0</v>
      </c>
      <c r="F3" s="112">
        <v>1</v>
      </c>
      <c r="G3" s="113">
        <v>2</v>
      </c>
      <c r="H3" s="112">
        <v>3</v>
      </c>
      <c r="I3" s="113">
        <v>4</v>
      </c>
      <c r="K3" s="7" t="s">
        <v>14</v>
      </c>
      <c r="L3" s="8">
        <v>737717</v>
      </c>
    </row>
    <row r="4" spans="2:12" ht="18.75" x14ac:dyDescent="0.4">
      <c r="E4" s="2" t="s">
        <v>8</v>
      </c>
      <c r="F4" s="141">
        <f>D27</f>
        <v>44918792</v>
      </c>
      <c r="G4" s="142">
        <f>F4*1.05</f>
        <v>47164731.600000001</v>
      </c>
      <c r="H4" s="143">
        <f>G4*L5</f>
        <v>49522968.180000007</v>
      </c>
      <c r="I4" s="144">
        <f>H4*L5</f>
        <v>51999116.589000009</v>
      </c>
      <c r="K4" s="9" t="s">
        <v>16</v>
      </c>
      <c r="L4" s="10">
        <v>83140</v>
      </c>
    </row>
    <row r="5" spans="2:12" ht="19.5" thickBot="1" x14ac:dyDescent="0.45">
      <c r="E5" s="2" t="s">
        <v>9</v>
      </c>
      <c r="F5" s="141">
        <f>G27</f>
        <v>18000000</v>
      </c>
      <c r="G5" s="142">
        <f t="shared" ref="G5:G7" si="0">F5*1.05</f>
        <v>18900000</v>
      </c>
      <c r="H5" s="143">
        <f>G5*1.05</f>
        <v>19845000</v>
      </c>
      <c r="I5" s="144">
        <f>H5*1.05</f>
        <v>20837250</v>
      </c>
      <c r="K5" s="11" t="s">
        <v>17</v>
      </c>
      <c r="L5" s="111">
        <v>1.05</v>
      </c>
    </row>
    <row r="6" spans="2:12" ht="18.75" x14ac:dyDescent="0.4">
      <c r="E6" s="2" t="s">
        <v>209</v>
      </c>
      <c r="F6" s="141">
        <f>D39</f>
        <v>35135033.600000001</v>
      </c>
      <c r="G6" s="142">
        <f t="shared" si="0"/>
        <v>36891785.280000001</v>
      </c>
      <c r="H6" s="143">
        <f>L5*G6</f>
        <v>38736374.544</v>
      </c>
      <c r="I6" s="144">
        <f t="shared" ref="I6:I7" si="1">H6*1.05</f>
        <v>40673193.271200001</v>
      </c>
    </row>
    <row r="7" spans="2:12" ht="19.5" thickBot="1" x14ac:dyDescent="0.45">
      <c r="E7" s="2" t="s">
        <v>211</v>
      </c>
      <c r="F7" s="145">
        <f>D51</f>
        <v>12605054.624478932</v>
      </c>
      <c r="G7" s="146">
        <f t="shared" si="0"/>
        <v>13235307.355702879</v>
      </c>
      <c r="H7" s="143">
        <f>G7*L5</f>
        <v>13897072.723488024</v>
      </c>
      <c r="I7" s="144">
        <f t="shared" si="1"/>
        <v>14591926.359662425</v>
      </c>
    </row>
    <row r="8" spans="2:12" ht="18.75" x14ac:dyDescent="0.4">
      <c r="E8" s="2" t="s">
        <v>214</v>
      </c>
      <c r="F8" s="147">
        <f>D51</f>
        <v>12605054.624478932</v>
      </c>
      <c r="G8" s="148">
        <f>F8*L5</f>
        <v>13235307.355702879</v>
      </c>
      <c r="H8" s="148">
        <f>G8*L5</f>
        <v>13897072.723488024</v>
      </c>
      <c r="I8" s="149">
        <f>H8*L5</f>
        <v>14591926.359662425</v>
      </c>
    </row>
    <row r="9" spans="2:12" ht="18.75" x14ac:dyDescent="0.4">
      <c r="E9" s="2" t="s">
        <v>212</v>
      </c>
      <c r="F9" s="150">
        <v>11690515</v>
      </c>
      <c r="G9" s="151">
        <v>12275040.4</v>
      </c>
      <c r="H9" s="141">
        <v>12888792</v>
      </c>
      <c r="I9" s="149">
        <v>13533232</v>
      </c>
    </row>
    <row r="10" spans="2:12" s="21" customFormat="1" ht="18.75" x14ac:dyDescent="0.4">
      <c r="E10" s="2" t="s">
        <v>213</v>
      </c>
      <c r="F10" s="150">
        <v>11690515</v>
      </c>
      <c r="G10" s="151">
        <v>12275040.4</v>
      </c>
      <c r="H10" s="141">
        <v>12888792</v>
      </c>
      <c r="I10" s="149">
        <v>13533232</v>
      </c>
    </row>
    <row r="11" spans="2:12" ht="19.5" thickBot="1" x14ac:dyDescent="0.45">
      <c r="E11" s="2" t="s">
        <v>210</v>
      </c>
      <c r="F11" s="150">
        <v>11690515</v>
      </c>
      <c r="G11" s="151">
        <v>12275040.4</v>
      </c>
      <c r="H11" s="141">
        <v>12888792</v>
      </c>
      <c r="I11" s="149">
        <v>13533232</v>
      </c>
    </row>
    <row r="12" spans="2:12" ht="19.5" thickBot="1" x14ac:dyDescent="0.45">
      <c r="E12" s="115" t="s">
        <v>31</v>
      </c>
      <c r="F12" s="152">
        <f>SUM(F4:F11)</f>
        <v>158335479.84895787</v>
      </c>
      <c r="G12" s="153">
        <f>SUM(G4:G11)</f>
        <v>166252252.79140577</v>
      </c>
      <c r="H12" s="154">
        <f>SUM(H4:H11)</f>
        <v>174564864.17097604</v>
      </c>
      <c r="I12" s="155">
        <f>SUM(I4:I11)</f>
        <v>183293108.57952487</v>
      </c>
    </row>
    <row r="13" spans="2:12" ht="18.75" x14ac:dyDescent="0.4">
      <c r="E13" s="12"/>
      <c r="F13" s="110"/>
      <c r="G13" s="110"/>
      <c r="H13" s="110"/>
      <c r="I13" s="110"/>
    </row>
    <row r="14" spans="2:12" ht="18.75" x14ac:dyDescent="0.4">
      <c r="E14" s="12"/>
      <c r="F14" s="12"/>
      <c r="G14" s="12"/>
      <c r="H14" s="12"/>
      <c r="I14" s="12"/>
    </row>
    <row r="15" spans="2:12" ht="15.75" thickBot="1" x14ac:dyDescent="0.3"/>
    <row r="16" spans="2:12" ht="18.75" x14ac:dyDescent="0.4">
      <c r="B16" s="20" t="s">
        <v>8</v>
      </c>
      <c r="C16" s="19" t="s">
        <v>28</v>
      </c>
      <c r="D16" s="18" t="s">
        <v>18</v>
      </c>
      <c r="E16" s="20" t="s">
        <v>9</v>
      </c>
      <c r="F16" s="19" t="s">
        <v>28</v>
      </c>
      <c r="G16" s="18" t="s">
        <v>18</v>
      </c>
    </row>
    <row r="17" spans="2:11" s="21" customFormat="1" ht="19.5" x14ac:dyDescent="0.4">
      <c r="B17" s="17" t="s">
        <v>29</v>
      </c>
      <c r="C17" s="156">
        <v>2500000</v>
      </c>
      <c r="D17" s="157">
        <f>C17*12</f>
        <v>30000000</v>
      </c>
      <c r="E17" s="17" t="s">
        <v>29</v>
      </c>
      <c r="F17" s="156">
        <v>1500000</v>
      </c>
      <c r="G17" s="157">
        <f>F17*12</f>
        <v>18000000</v>
      </c>
    </row>
    <row r="18" spans="2:11" s="21" customFormat="1" ht="19.5" x14ac:dyDescent="0.4">
      <c r="B18" s="17" t="s">
        <v>30</v>
      </c>
      <c r="C18" s="156">
        <f>C17*0.085</f>
        <v>212500.00000000003</v>
      </c>
      <c r="D18" s="157">
        <f>C18*12</f>
        <v>2550000.0000000005</v>
      </c>
      <c r="E18" s="17" t="s">
        <v>30</v>
      </c>
      <c r="F18" s="156">
        <v>0</v>
      </c>
      <c r="G18" s="157">
        <v>0</v>
      </c>
    </row>
    <row r="19" spans="2:11" ht="19.5" x14ac:dyDescent="0.4">
      <c r="B19" s="17" t="s">
        <v>19</v>
      </c>
      <c r="C19" s="156">
        <f>C17*0.12</f>
        <v>300000</v>
      </c>
      <c r="D19" s="157">
        <f>C19*12</f>
        <v>3600000</v>
      </c>
      <c r="E19" s="17" t="s">
        <v>19</v>
      </c>
      <c r="F19" s="156">
        <v>0</v>
      </c>
      <c r="G19" s="157">
        <f>F19*12</f>
        <v>0</v>
      </c>
    </row>
    <row r="20" spans="2:11" ht="19.5" x14ac:dyDescent="0.4">
      <c r="B20" s="17" t="s">
        <v>20</v>
      </c>
      <c r="C20" s="156">
        <f>C19*0.00522</f>
        <v>1566</v>
      </c>
      <c r="D20" s="157">
        <f>C20*12</f>
        <v>18792</v>
      </c>
      <c r="E20" s="17" t="s">
        <v>20</v>
      </c>
      <c r="F20" s="156">
        <v>0</v>
      </c>
      <c r="G20" s="157">
        <f>F20*12</f>
        <v>0</v>
      </c>
    </row>
    <row r="21" spans="2:11" ht="19.5" x14ac:dyDescent="0.4">
      <c r="B21" s="17" t="s">
        <v>21</v>
      </c>
      <c r="C21" s="156">
        <f>3000000/12</f>
        <v>250000</v>
      </c>
      <c r="D21" s="157">
        <v>3000000</v>
      </c>
      <c r="E21" s="17" t="s">
        <v>21</v>
      </c>
      <c r="F21" s="156">
        <v>0</v>
      </c>
      <c r="G21" s="157">
        <f>F21</f>
        <v>0</v>
      </c>
    </row>
    <row r="22" spans="2:11" ht="19.5" x14ac:dyDescent="0.4">
      <c r="B22" s="17" t="s">
        <v>22</v>
      </c>
      <c r="C22" s="156">
        <f>3000000/12</f>
        <v>250000</v>
      </c>
      <c r="D22" s="157">
        <v>3000000</v>
      </c>
      <c r="E22" s="17" t="s">
        <v>22</v>
      </c>
      <c r="F22" s="156">
        <v>0</v>
      </c>
      <c r="G22" s="157">
        <f>F22</f>
        <v>0</v>
      </c>
    </row>
    <row r="23" spans="2:11" ht="19.5" x14ac:dyDescent="0.4">
      <c r="B23" s="17" t="s">
        <v>23</v>
      </c>
      <c r="C23" s="156">
        <f>C17*0.12/12</f>
        <v>25000</v>
      </c>
      <c r="D23" s="157">
        <f>C23*12</f>
        <v>300000</v>
      </c>
      <c r="E23" s="17" t="s">
        <v>23</v>
      </c>
      <c r="F23" s="156">
        <v>0</v>
      </c>
      <c r="G23" s="157">
        <f>F23</f>
        <v>0</v>
      </c>
    </row>
    <row r="24" spans="2:11" ht="19.5" x14ac:dyDescent="0.4">
      <c r="B24" s="17" t="s">
        <v>24</v>
      </c>
      <c r="C24" s="156">
        <f>C17*0.04</f>
        <v>100000</v>
      </c>
      <c r="D24" s="157">
        <f>C24*12</f>
        <v>1200000</v>
      </c>
      <c r="E24" s="17" t="s">
        <v>24</v>
      </c>
      <c r="F24" s="156">
        <v>0</v>
      </c>
      <c r="G24" s="157">
        <f>F24*12</f>
        <v>0</v>
      </c>
    </row>
    <row r="25" spans="2:11" ht="19.5" x14ac:dyDescent="0.4">
      <c r="B25" s="17" t="s">
        <v>25</v>
      </c>
      <c r="C25" s="156">
        <f>C17*0.5/12</f>
        <v>104166.66666666667</v>
      </c>
      <c r="D25" s="157">
        <f>C25*12</f>
        <v>1250000</v>
      </c>
      <c r="E25" s="17" t="s">
        <v>25</v>
      </c>
      <c r="F25" s="156">
        <v>0</v>
      </c>
      <c r="G25" s="157">
        <f>F25</f>
        <v>0</v>
      </c>
    </row>
    <row r="26" spans="2:11" ht="19.5" x14ac:dyDescent="0.4">
      <c r="B26" s="17" t="s">
        <v>26</v>
      </c>
      <c r="C26" s="156">
        <v>0</v>
      </c>
      <c r="D26" s="157">
        <v>0</v>
      </c>
      <c r="E26" s="17" t="s">
        <v>26</v>
      </c>
      <c r="F26" s="156">
        <v>0</v>
      </c>
      <c r="G26" s="157">
        <v>0</v>
      </c>
    </row>
    <row r="27" spans="2:11" ht="20.25" thickBot="1" x14ac:dyDescent="0.45">
      <c r="B27" s="16" t="s">
        <v>27</v>
      </c>
      <c r="C27" s="158">
        <f>SUM(C17:C26)</f>
        <v>3743232.6666666665</v>
      </c>
      <c r="D27" s="159">
        <f>SUM(D17:D26)</f>
        <v>44918792</v>
      </c>
      <c r="E27" s="16" t="s">
        <v>27</v>
      </c>
      <c r="F27" s="158">
        <f>SUM(F17:F26)</f>
        <v>1500000</v>
      </c>
      <c r="G27" s="160">
        <f>SUM(G17:G26)</f>
        <v>18000000</v>
      </c>
    </row>
    <row r="28" spans="2:11" ht="18.75" x14ac:dyDescent="0.4">
      <c r="B28" s="20" t="s">
        <v>209</v>
      </c>
      <c r="C28" s="19" t="s">
        <v>28</v>
      </c>
      <c r="D28" s="18" t="s">
        <v>18</v>
      </c>
      <c r="E28" s="20" t="s">
        <v>210</v>
      </c>
      <c r="F28" s="19" t="s">
        <v>28</v>
      </c>
      <c r="G28" s="18" t="s">
        <v>18</v>
      </c>
    </row>
    <row r="29" spans="2:11" ht="19.5" x14ac:dyDescent="0.4">
      <c r="B29" s="17" t="s">
        <v>29</v>
      </c>
      <c r="C29" s="22">
        <v>2000000</v>
      </c>
      <c r="D29" s="23">
        <f t="shared" ref="D29:D37" si="2">C29*12</f>
        <v>24000000</v>
      </c>
      <c r="E29" s="17" t="s">
        <v>29</v>
      </c>
      <c r="F29" s="161">
        <v>1500000</v>
      </c>
      <c r="G29" s="162">
        <f>F29*12</f>
        <v>18000000</v>
      </c>
    </row>
    <row r="30" spans="2:11" s="21" customFormat="1" ht="19.5" x14ac:dyDescent="0.4">
      <c r="B30" s="17" t="s">
        <v>30</v>
      </c>
      <c r="C30" s="22">
        <f>C29*0.085</f>
        <v>170000</v>
      </c>
      <c r="D30" s="23">
        <f t="shared" si="2"/>
        <v>2040000</v>
      </c>
      <c r="E30" s="17" t="s">
        <v>30</v>
      </c>
      <c r="F30" s="161">
        <f>F29*0.085</f>
        <v>127500.00000000001</v>
      </c>
      <c r="G30" s="162">
        <v>0</v>
      </c>
      <c r="K30" s="21" t="s">
        <v>237</v>
      </c>
    </row>
    <row r="31" spans="2:11" ht="19.5" x14ac:dyDescent="0.4">
      <c r="B31" s="17" t="s">
        <v>19</v>
      </c>
      <c r="C31" s="22">
        <f>C29*0.12</f>
        <v>240000</v>
      </c>
      <c r="D31" s="23">
        <f t="shared" si="2"/>
        <v>2880000</v>
      </c>
      <c r="E31" s="17" t="s">
        <v>19</v>
      </c>
      <c r="F31" s="161">
        <f>F29*0.12</f>
        <v>180000</v>
      </c>
      <c r="G31" s="162">
        <f t="shared" ref="G31:G37" si="3">F31*12</f>
        <v>2160000</v>
      </c>
    </row>
    <row r="32" spans="2:11" ht="19.5" x14ac:dyDescent="0.4">
      <c r="B32" s="17" t="s">
        <v>20</v>
      </c>
      <c r="C32" s="22">
        <f>C31*0.00522</f>
        <v>1252.8</v>
      </c>
      <c r="D32" s="23">
        <f t="shared" si="2"/>
        <v>15033.599999999999</v>
      </c>
      <c r="E32" s="17" t="s">
        <v>20</v>
      </c>
      <c r="F32" s="161">
        <f>F31*0.00522</f>
        <v>939.6</v>
      </c>
      <c r="G32" s="162">
        <f t="shared" si="3"/>
        <v>11275.2</v>
      </c>
    </row>
    <row r="33" spans="2:7" ht="19.5" x14ac:dyDescent="0.4">
      <c r="B33" s="17" t="s">
        <v>21</v>
      </c>
      <c r="C33" s="22">
        <f>C29/12</f>
        <v>166666.66666666666</v>
      </c>
      <c r="D33" s="23">
        <f t="shared" si="2"/>
        <v>2000000</v>
      </c>
      <c r="E33" s="17" t="s">
        <v>21</v>
      </c>
      <c r="F33" s="161">
        <f>F29/12</f>
        <v>125000</v>
      </c>
      <c r="G33" s="162">
        <f t="shared" si="3"/>
        <v>1500000</v>
      </c>
    </row>
    <row r="34" spans="2:7" ht="19.5" x14ac:dyDescent="0.4">
      <c r="B34" s="17" t="s">
        <v>22</v>
      </c>
      <c r="C34" s="22">
        <f>C29/12</f>
        <v>166666.66666666666</v>
      </c>
      <c r="D34" s="23">
        <f t="shared" si="2"/>
        <v>2000000</v>
      </c>
      <c r="E34" s="17" t="s">
        <v>22</v>
      </c>
      <c r="F34" s="161">
        <f>F29/12</f>
        <v>125000</v>
      </c>
      <c r="G34" s="162">
        <f t="shared" si="3"/>
        <v>1500000</v>
      </c>
    </row>
    <row r="35" spans="2:7" ht="19.5" x14ac:dyDescent="0.4">
      <c r="B35" s="17" t="s">
        <v>23</v>
      </c>
      <c r="C35" s="22">
        <f>C29*0.12/12</f>
        <v>20000</v>
      </c>
      <c r="D35" s="23">
        <f t="shared" si="2"/>
        <v>240000</v>
      </c>
      <c r="E35" s="17" t="s">
        <v>23</v>
      </c>
      <c r="F35" s="161">
        <f>F29*0.12/12</f>
        <v>15000</v>
      </c>
      <c r="G35" s="162">
        <f t="shared" si="3"/>
        <v>180000</v>
      </c>
    </row>
    <row r="36" spans="2:7" ht="19.5" x14ac:dyDescent="0.4">
      <c r="B36" s="17" t="s">
        <v>24</v>
      </c>
      <c r="C36" s="22">
        <f>C29*0.04</f>
        <v>80000</v>
      </c>
      <c r="D36" s="23">
        <f t="shared" si="2"/>
        <v>960000</v>
      </c>
      <c r="E36" s="17" t="s">
        <v>24</v>
      </c>
      <c r="F36" s="161">
        <f>F29*0.04</f>
        <v>60000</v>
      </c>
      <c r="G36" s="162">
        <f t="shared" si="3"/>
        <v>720000</v>
      </c>
    </row>
    <row r="37" spans="2:7" ht="19.5" x14ac:dyDescent="0.4">
      <c r="B37" s="17" t="s">
        <v>25</v>
      </c>
      <c r="C37" s="22">
        <f>C29*0.5/12</f>
        <v>83333.333333333328</v>
      </c>
      <c r="D37" s="23">
        <f t="shared" si="2"/>
        <v>1000000</v>
      </c>
      <c r="E37" s="17" t="s">
        <v>25</v>
      </c>
      <c r="F37" s="161">
        <f>F29*0.5/12</f>
        <v>62500</v>
      </c>
      <c r="G37" s="162">
        <f t="shared" si="3"/>
        <v>750000</v>
      </c>
    </row>
    <row r="38" spans="2:7" ht="19.5" x14ac:dyDescent="0.4">
      <c r="B38" s="17" t="s">
        <v>26</v>
      </c>
      <c r="C38" s="22">
        <v>0</v>
      </c>
      <c r="D38" s="23">
        <v>0</v>
      </c>
      <c r="E38" s="17" t="s">
        <v>26</v>
      </c>
      <c r="F38" s="161">
        <v>0</v>
      </c>
      <c r="G38" s="162">
        <v>0</v>
      </c>
    </row>
    <row r="39" spans="2:7" ht="20.25" thickBot="1" x14ac:dyDescent="0.45">
      <c r="B39" s="16" t="s">
        <v>27</v>
      </c>
      <c r="C39" s="15">
        <f>SUM(C29:C38)</f>
        <v>2927919.4666666663</v>
      </c>
      <c r="D39" s="14">
        <f>SUM(D29:D38)</f>
        <v>35135033.600000001</v>
      </c>
      <c r="E39" s="16" t="s">
        <v>27</v>
      </c>
      <c r="F39" s="163">
        <f>SUM(F29:F38)</f>
        <v>2195939.6</v>
      </c>
      <c r="G39" s="159">
        <f>SUM(G29:G38)</f>
        <v>24821275.199999999</v>
      </c>
    </row>
    <row r="40" spans="2:7" ht="18.75" x14ac:dyDescent="0.4">
      <c r="B40" s="20" t="s">
        <v>211</v>
      </c>
      <c r="C40" s="19" t="s">
        <v>28</v>
      </c>
      <c r="D40" s="18" t="s">
        <v>18</v>
      </c>
      <c r="E40" s="20" t="s">
        <v>212</v>
      </c>
      <c r="F40" s="19" t="s">
        <v>28</v>
      </c>
      <c r="G40" s="18" t="s">
        <v>18</v>
      </c>
    </row>
    <row r="41" spans="2:7" ht="19.5" x14ac:dyDescent="0.4">
      <c r="B41" s="17" t="s">
        <v>29</v>
      </c>
      <c r="C41" s="161">
        <f>L3</f>
        <v>737717</v>
      </c>
      <c r="D41" s="162">
        <f>C41*12</f>
        <v>8852604</v>
      </c>
      <c r="E41" s="17" t="s">
        <v>29</v>
      </c>
      <c r="F41" s="161">
        <f>L3*2</f>
        <v>1475434</v>
      </c>
      <c r="G41" s="162">
        <f>F41*12</f>
        <v>17705208</v>
      </c>
    </row>
    <row r="42" spans="2:7" s="21" customFormat="1" ht="19.5" x14ac:dyDescent="0.4">
      <c r="B42" s="17" t="s">
        <v>30</v>
      </c>
      <c r="C42" s="161">
        <f>C41*0.085</f>
        <v>62705.945000000007</v>
      </c>
      <c r="D42" s="162">
        <f>C42*12</f>
        <v>752471.34000000008</v>
      </c>
      <c r="E42" s="17" t="s">
        <v>30</v>
      </c>
      <c r="F42" s="161">
        <f>F41*0.085*2</f>
        <v>250823.78000000003</v>
      </c>
      <c r="G42" s="162">
        <f>F42*12</f>
        <v>3009885.3600000003</v>
      </c>
    </row>
    <row r="43" spans="2:7" ht="19.5" x14ac:dyDescent="0.4">
      <c r="B43" s="17" t="s">
        <v>19</v>
      </c>
      <c r="C43" s="161">
        <f>C41*0.12</f>
        <v>88526.04</v>
      </c>
      <c r="D43" s="162">
        <f>C43*12</f>
        <v>1062312.48</v>
      </c>
      <c r="E43" s="17" t="s">
        <v>19</v>
      </c>
      <c r="F43" s="161">
        <f>F41*0.12*2</f>
        <v>354104.16</v>
      </c>
      <c r="G43" s="162">
        <f>F43*12</f>
        <v>4249249.92</v>
      </c>
    </row>
    <row r="44" spans="2:7" ht="19.5" x14ac:dyDescent="0.4">
      <c r="B44" s="17" t="s">
        <v>20</v>
      </c>
      <c r="C44" s="161">
        <f>C43*0.00522</f>
        <v>462.10592879999996</v>
      </c>
      <c r="D44" s="162">
        <f>C44*12</f>
        <v>5545.2711455999997</v>
      </c>
      <c r="E44" s="17" t="s">
        <v>20</v>
      </c>
      <c r="F44" s="161">
        <f>F43*0.00522*2</f>
        <v>3696.8474303999997</v>
      </c>
      <c r="G44" s="162">
        <f>F44*12</f>
        <v>44362.169164799998</v>
      </c>
    </row>
    <row r="45" spans="2:7" ht="19.5" x14ac:dyDescent="0.4">
      <c r="B45" s="17" t="s">
        <v>21</v>
      </c>
      <c r="C45" s="161">
        <f>C41/12</f>
        <v>61476.416666666664</v>
      </c>
      <c r="D45" s="162">
        <f>C45</f>
        <v>61476.416666666664</v>
      </c>
      <c r="E45" s="17" t="s">
        <v>21</v>
      </c>
      <c r="F45" s="161">
        <f>F41/12*2</f>
        <v>245905.66666666666</v>
      </c>
      <c r="G45" s="162">
        <f>F45*12</f>
        <v>2950868</v>
      </c>
    </row>
    <row r="46" spans="2:7" ht="19.5" x14ac:dyDescent="0.4">
      <c r="B46" s="17" t="s">
        <v>22</v>
      </c>
      <c r="C46" s="161">
        <f>C41/12</f>
        <v>61476.416666666664</v>
      </c>
      <c r="D46" s="162">
        <f>C46</f>
        <v>61476.416666666664</v>
      </c>
      <c r="E46" s="17" t="s">
        <v>22</v>
      </c>
      <c r="F46" s="161">
        <f>F41/12*2</f>
        <v>245905.66666666666</v>
      </c>
      <c r="G46" s="162">
        <f>F46</f>
        <v>245905.66666666666</v>
      </c>
    </row>
    <row r="47" spans="2:7" ht="19.5" x14ac:dyDescent="0.4">
      <c r="B47" s="17" t="s">
        <v>23</v>
      </c>
      <c r="C47" s="161">
        <f>C41*0.12/12</f>
        <v>7377.1699999999992</v>
      </c>
      <c r="D47" s="162">
        <f>C47*12</f>
        <v>88526.04</v>
      </c>
      <c r="E47" s="17" t="s">
        <v>23</v>
      </c>
      <c r="F47" s="161">
        <f>F41*0.12/12</f>
        <v>14754.339999999998</v>
      </c>
      <c r="G47" s="162">
        <f>F47*12</f>
        <v>177052.08</v>
      </c>
    </row>
    <row r="48" spans="2:7" ht="19.5" x14ac:dyDescent="0.4">
      <c r="B48" s="17" t="s">
        <v>24</v>
      </c>
      <c r="C48" s="161">
        <f>C41*0.04</f>
        <v>29508.68</v>
      </c>
      <c r="D48" s="162">
        <f>C48*12</f>
        <v>354104.16000000003</v>
      </c>
      <c r="E48" s="17" t="s">
        <v>24</v>
      </c>
      <c r="F48" s="161">
        <f>F41*0.04*2</f>
        <v>118034.72</v>
      </c>
      <c r="G48" s="162">
        <f>F48*12</f>
        <v>1416416.6400000001</v>
      </c>
    </row>
    <row r="49" spans="2:7" ht="19.5" x14ac:dyDescent="0.4">
      <c r="B49" s="17" t="s">
        <v>25</v>
      </c>
      <c r="C49" s="161">
        <f>C41*0.5/12</f>
        <v>30738.208333333332</v>
      </c>
      <c r="D49" s="162">
        <f>C49*12</f>
        <v>368858.5</v>
      </c>
      <c r="E49" s="17" t="s">
        <v>25</v>
      </c>
      <c r="F49" s="161">
        <f>F41*0.5/12*2</f>
        <v>122952.83333333333</v>
      </c>
      <c r="G49" s="162">
        <f>F49</f>
        <v>122952.83333333333</v>
      </c>
    </row>
    <row r="50" spans="2:7" ht="19.5" x14ac:dyDescent="0.4">
      <c r="B50" s="17" t="s">
        <v>26</v>
      </c>
      <c r="C50" s="161">
        <f>L4</f>
        <v>83140</v>
      </c>
      <c r="D50" s="162">
        <f>C50*12</f>
        <v>997680</v>
      </c>
      <c r="E50" s="17" t="s">
        <v>26</v>
      </c>
      <c r="F50" s="161">
        <f>L4*2</f>
        <v>166280</v>
      </c>
      <c r="G50" s="162">
        <f>F50</f>
        <v>166280</v>
      </c>
    </row>
    <row r="51" spans="2:7" ht="20.25" thickBot="1" x14ac:dyDescent="0.45">
      <c r="B51" s="16" t="s">
        <v>27</v>
      </c>
      <c r="C51" s="163">
        <f>SUM(C41:C50)</f>
        <v>1163127.9825954665</v>
      </c>
      <c r="D51" s="159">
        <f>SUM(D41:D50)</f>
        <v>12605054.624478932</v>
      </c>
      <c r="E51" s="16" t="s">
        <v>27</v>
      </c>
      <c r="F51" s="163">
        <f>SUM(F41:F50)</f>
        <v>2997892.0140970666</v>
      </c>
      <c r="G51" s="159">
        <f>SUM(G41:G50)</f>
        <v>30088180.669164799</v>
      </c>
    </row>
    <row r="52" spans="2:7" ht="18.75" x14ac:dyDescent="0.4">
      <c r="B52" s="20" t="s">
        <v>213</v>
      </c>
      <c r="C52" s="19" t="s">
        <v>28</v>
      </c>
      <c r="D52" s="18" t="s">
        <v>18</v>
      </c>
      <c r="E52" s="20" t="s">
        <v>214</v>
      </c>
      <c r="F52" s="19" t="s">
        <v>28</v>
      </c>
      <c r="G52" s="18" t="s">
        <v>18</v>
      </c>
    </row>
    <row r="53" spans="2:7" ht="19.5" x14ac:dyDescent="0.4">
      <c r="B53" s="17" t="s">
        <v>29</v>
      </c>
      <c r="C53" s="161">
        <f>C41</f>
        <v>737717</v>
      </c>
      <c r="D53" s="162">
        <f t="shared" ref="D53:D62" si="4">C53*12</f>
        <v>8852604</v>
      </c>
      <c r="E53" s="17" t="s">
        <v>29</v>
      </c>
      <c r="F53" s="161">
        <f>C53</f>
        <v>737717</v>
      </c>
      <c r="G53" s="162">
        <f t="shared" ref="G53:G62" si="5">F53*12</f>
        <v>8852604</v>
      </c>
    </row>
    <row r="54" spans="2:7" ht="19.5" x14ac:dyDescent="0.4">
      <c r="B54" s="17" t="s">
        <v>30</v>
      </c>
      <c r="C54" s="161">
        <f>C53*0.085</f>
        <v>62705.945000000007</v>
      </c>
      <c r="D54" s="162">
        <f t="shared" si="4"/>
        <v>752471.34000000008</v>
      </c>
      <c r="E54" s="17" t="s">
        <v>30</v>
      </c>
      <c r="F54" s="161">
        <f>F53*0.085</f>
        <v>62705.945000000007</v>
      </c>
      <c r="G54" s="162">
        <f t="shared" si="5"/>
        <v>752471.34000000008</v>
      </c>
    </row>
    <row r="55" spans="2:7" ht="19.5" x14ac:dyDescent="0.4">
      <c r="B55" s="17" t="s">
        <v>19</v>
      </c>
      <c r="C55" s="161">
        <f>C53*0.12</f>
        <v>88526.04</v>
      </c>
      <c r="D55" s="162">
        <f t="shared" si="4"/>
        <v>1062312.48</v>
      </c>
      <c r="E55" s="17" t="s">
        <v>19</v>
      </c>
      <c r="F55" s="161">
        <f>F53*0.12</f>
        <v>88526.04</v>
      </c>
      <c r="G55" s="162">
        <f t="shared" si="5"/>
        <v>1062312.48</v>
      </c>
    </row>
    <row r="56" spans="2:7" ht="19.5" x14ac:dyDescent="0.4">
      <c r="B56" s="17" t="s">
        <v>20</v>
      </c>
      <c r="C56" s="161">
        <f>C55*0.00522</f>
        <v>462.10592879999996</v>
      </c>
      <c r="D56" s="162">
        <f t="shared" si="4"/>
        <v>5545.2711455999997</v>
      </c>
      <c r="E56" s="17" t="s">
        <v>20</v>
      </c>
      <c r="F56" s="161">
        <f>F55*0.00522</f>
        <v>462.10592879999996</v>
      </c>
      <c r="G56" s="162">
        <f t="shared" si="5"/>
        <v>5545.2711455999997</v>
      </c>
    </row>
    <row r="57" spans="2:7" ht="19.5" x14ac:dyDescent="0.4">
      <c r="B57" s="17" t="s">
        <v>21</v>
      </c>
      <c r="C57" s="161">
        <f>C53/12</f>
        <v>61476.416666666664</v>
      </c>
      <c r="D57" s="162">
        <f t="shared" si="4"/>
        <v>737717</v>
      </c>
      <c r="E57" s="17" t="s">
        <v>21</v>
      </c>
      <c r="F57" s="161">
        <f>F53/12</f>
        <v>61476.416666666664</v>
      </c>
      <c r="G57" s="162">
        <f t="shared" si="5"/>
        <v>737717</v>
      </c>
    </row>
    <row r="58" spans="2:7" ht="19.5" x14ac:dyDescent="0.4">
      <c r="B58" s="17" t="s">
        <v>22</v>
      </c>
      <c r="C58" s="161">
        <f>C53/12</f>
        <v>61476.416666666664</v>
      </c>
      <c r="D58" s="162">
        <f t="shared" si="4"/>
        <v>737717</v>
      </c>
      <c r="E58" s="17" t="s">
        <v>22</v>
      </c>
      <c r="F58" s="161">
        <f>F53/12</f>
        <v>61476.416666666664</v>
      </c>
      <c r="G58" s="162">
        <f t="shared" si="5"/>
        <v>737717</v>
      </c>
    </row>
    <row r="59" spans="2:7" ht="19.5" x14ac:dyDescent="0.4">
      <c r="B59" s="17" t="s">
        <v>23</v>
      </c>
      <c r="C59" s="161">
        <f>C53*0.12/12</f>
        <v>7377.1699999999992</v>
      </c>
      <c r="D59" s="162">
        <f t="shared" si="4"/>
        <v>88526.04</v>
      </c>
      <c r="E59" s="17" t="s">
        <v>23</v>
      </c>
      <c r="F59" s="161">
        <f>F53*0.12/12</f>
        <v>7377.1699999999992</v>
      </c>
      <c r="G59" s="162">
        <f t="shared" si="5"/>
        <v>88526.04</v>
      </c>
    </row>
    <row r="60" spans="2:7" ht="19.5" x14ac:dyDescent="0.4">
      <c r="B60" s="17" t="s">
        <v>24</v>
      </c>
      <c r="C60" s="161">
        <f>C53*0.04</f>
        <v>29508.68</v>
      </c>
      <c r="D60" s="162">
        <f t="shared" si="4"/>
        <v>354104.16000000003</v>
      </c>
      <c r="E60" s="17" t="s">
        <v>24</v>
      </c>
      <c r="F60" s="161">
        <f>F53*0.04</f>
        <v>29508.68</v>
      </c>
      <c r="G60" s="162">
        <f t="shared" si="5"/>
        <v>354104.16000000003</v>
      </c>
    </row>
    <row r="61" spans="2:7" ht="19.5" x14ac:dyDescent="0.4">
      <c r="B61" s="17" t="s">
        <v>25</v>
      </c>
      <c r="C61" s="161">
        <f>C53*0.5/12</f>
        <v>30738.208333333332</v>
      </c>
      <c r="D61" s="162">
        <f t="shared" si="4"/>
        <v>368858.5</v>
      </c>
      <c r="E61" s="17" t="s">
        <v>25</v>
      </c>
      <c r="F61" s="161">
        <f>F53*0.5/12</f>
        <v>30738.208333333332</v>
      </c>
      <c r="G61" s="162">
        <f t="shared" si="5"/>
        <v>368858.5</v>
      </c>
    </row>
    <row r="62" spans="2:7" ht="19.5" x14ac:dyDescent="0.4">
      <c r="B62" s="17" t="s">
        <v>26</v>
      </c>
      <c r="C62" s="161">
        <f>C50</f>
        <v>83140</v>
      </c>
      <c r="D62" s="162">
        <f t="shared" si="4"/>
        <v>997680</v>
      </c>
      <c r="E62" s="17" t="s">
        <v>26</v>
      </c>
      <c r="F62" s="161">
        <f>C62</f>
        <v>83140</v>
      </c>
      <c r="G62" s="162">
        <f t="shared" si="5"/>
        <v>997680</v>
      </c>
    </row>
    <row r="63" spans="2:7" ht="20.25" thickBot="1" x14ac:dyDescent="0.45">
      <c r="B63" s="16" t="s">
        <v>27</v>
      </c>
      <c r="C63" s="163">
        <f>SUM(C53:C62)</f>
        <v>1163127.9825954665</v>
      </c>
      <c r="D63" s="159">
        <f>SUM(D53:D62)</f>
        <v>13957535.7911456</v>
      </c>
      <c r="E63" s="16" t="s">
        <v>27</v>
      </c>
      <c r="F63" s="163">
        <f>SUM(F53:F62)</f>
        <v>1163127.9825954665</v>
      </c>
      <c r="G63" s="159">
        <f>SUM(G53:G62)</f>
        <v>13957535.7911456</v>
      </c>
    </row>
    <row r="64" spans="2:7" ht="18.75" x14ac:dyDescent="0.4">
      <c r="B64" s="20"/>
      <c r="C64" s="19"/>
      <c r="D64" s="18"/>
      <c r="E64" s="20" t="s">
        <v>224</v>
      </c>
      <c r="F64" s="19" t="s">
        <v>28</v>
      </c>
      <c r="G64" s="18" t="s">
        <v>18</v>
      </c>
    </row>
    <row r="65" spans="2:7" ht="19.5" x14ac:dyDescent="0.4">
      <c r="B65" s="17"/>
      <c r="C65" s="22"/>
      <c r="D65" s="23"/>
      <c r="E65" s="17" t="s">
        <v>29</v>
      </c>
      <c r="F65" s="156">
        <f>F53</f>
        <v>737717</v>
      </c>
      <c r="G65" s="157">
        <f t="shared" ref="G65:G74" si="6">F65*12</f>
        <v>8852604</v>
      </c>
    </row>
    <row r="66" spans="2:7" ht="19.5" x14ac:dyDescent="0.4">
      <c r="B66" s="17"/>
      <c r="C66" s="22"/>
      <c r="D66" s="23"/>
      <c r="E66" s="17" t="s">
        <v>30</v>
      </c>
      <c r="F66" s="156">
        <f>F65*0.085</f>
        <v>62705.945000000007</v>
      </c>
      <c r="G66" s="157">
        <f t="shared" si="6"/>
        <v>752471.34000000008</v>
      </c>
    </row>
    <row r="67" spans="2:7" ht="19.5" x14ac:dyDescent="0.4">
      <c r="B67" s="17"/>
      <c r="C67" s="22"/>
      <c r="D67" s="23"/>
      <c r="E67" s="17" t="s">
        <v>19</v>
      </c>
      <c r="F67" s="156">
        <f>F65*0.12</f>
        <v>88526.04</v>
      </c>
      <c r="G67" s="157">
        <f t="shared" si="6"/>
        <v>1062312.48</v>
      </c>
    </row>
    <row r="68" spans="2:7" ht="19.5" x14ac:dyDescent="0.4">
      <c r="B68" s="17"/>
      <c r="C68" s="22"/>
      <c r="D68" s="23"/>
      <c r="E68" s="17" t="s">
        <v>20</v>
      </c>
      <c r="F68" s="156">
        <f>F67*0.00522</f>
        <v>462.10592879999996</v>
      </c>
      <c r="G68" s="157">
        <f t="shared" si="6"/>
        <v>5545.2711455999997</v>
      </c>
    </row>
    <row r="69" spans="2:7" ht="19.5" x14ac:dyDescent="0.4">
      <c r="B69" s="17"/>
      <c r="C69" s="22"/>
      <c r="D69" s="23"/>
      <c r="E69" s="17" t="s">
        <v>21</v>
      </c>
      <c r="F69" s="156">
        <f>F65/12</f>
        <v>61476.416666666664</v>
      </c>
      <c r="G69" s="157">
        <f t="shared" si="6"/>
        <v>737717</v>
      </c>
    </row>
    <row r="70" spans="2:7" ht="19.5" x14ac:dyDescent="0.4">
      <c r="B70" s="17"/>
      <c r="C70" s="22"/>
      <c r="D70" s="23"/>
      <c r="E70" s="17" t="s">
        <v>22</v>
      </c>
      <c r="F70" s="156">
        <f>F65/12</f>
        <v>61476.416666666664</v>
      </c>
      <c r="G70" s="157">
        <f t="shared" si="6"/>
        <v>737717</v>
      </c>
    </row>
    <row r="71" spans="2:7" ht="19.5" x14ac:dyDescent="0.4">
      <c r="B71" s="17"/>
      <c r="C71" s="22"/>
      <c r="D71" s="23"/>
      <c r="E71" s="17" t="s">
        <v>23</v>
      </c>
      <c r="F71" s="156">
        <f>F65*0.12/12</f>
        <v>7377.1699999999992</v>
      </c>
      <c r="G71" s="157">
        <f t="shared" si="6"/>
        <v>88526.04</v>
      </c>
    </row>
    <row r="72" spans="2:7" ht="19.5" x14ac:dyDescent="0.4">
      <c r="B72" s="17"/>
      <c r="C72" s="22"/>
      <c r="D72" s="23"/>
      <c r="E72" s="17" t="s">
        <v>24</v>
      </c>
      <c r="F72" s="156">
        <f>F65*0.04</f>
        <v>29508.68</v>
      </c>
      <c r="G72" s="157">
        <f t="shared" si="6"/>
        <v>354104.16000000003</v>
      </c>
    </row>
    <row r="73" spans="2:7" ht="19.5" x14ac:dyDescent="0.4">
      <c r="B73" s="17"/>
      <c r="C73" s="22"/>
      <c r="D73" s="23"/>
      <c r="E73" s="17" t="s">
        <v>25</v>
      </c>
      <c r="F73" s="156">
        <f>F65*0.5/12</f>
        <v>30738.208333333332</v>
      </c>
      <c r="G73" s="157">
        <f t="shared" si="6"/>
        <v>368858.5</v>
      </c>
    </row>
    <row r="74" spans="2:7" ht="19.5" x14ac:dyDescent="0.4">
      <c r="B74" s="17"/>
      <c r="C74" s="22"/>
      <c r="D74" s="23"/>
      <c r="E74" s="17" t="s">
        <v>26</v>
      </c>
      <c r="F74" s="156">
        <f>F62</f>
        <v>83140</v>
      </c>
      <c r="G74" s="157">
        <f t="shared" si="6"/>
        <v>997680</v>
      </c>
    </row>
    <row r="75" spans="2:7" ht="20.25" thickBot="1" x14ac:dyDescent="0.45">
      <c r="B75" s="16"/>
      <c r="C75" s="15"/>
      <c r="D75" s="14"/>
      <c r="E75" s="16" t="s">
        <v>27</v>
      </c>
      <c r="F75" s="158">
        <f>SUM(F65:F74)</f>
        <v>1163127.9825954665</v>
      </c>
      <c r="G75" s="160">
        <f>SUM(G65:G74)</f>
        <v>13957535.7911456</v>
      </c>
    </row>
  </sheetData>
  <mergeCells count="2">
    <mergeCell ref="E2:I2"/>
    <mergeCell ref="K2: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zoomScale="90" zoomScaleNormal="90" workbookViewId="0">
      <selection activeCell="E31" sqref="E31"/>
    </sheetView>
  </sheetViews>
  <sheetFormatPr baseColWidth="10" defaultRowHeight="15" x14ac:dyDescent="0.25"/>
  <cols>
    <col min="1" max="1" width="11.42578125" style="21"/>
    <col min="2" max="2" width="31.140625" customWidth="1"/>
    <col min="3" max="3" width="23.5703125" customWidth="1"/>
    <col min="4" max="4" width="26.42578125" customWidth="1"/>
    <col min="5" max="5" width="26.5703125" style="21" customWidth="1"/>
    <col min="6" max="6" width="22.5703125" customWidth="1"/>
    <col min="7" max="7" width="19.140625" customWidth="1"/>
    <col min="8" max="8" width="14" style="21" customWidth="1"/>
    <col min="9" max="9" width="21" customWidth="1"/>
    <col min="10" max="10" width="21.140625" customWidth="1"/>
    <col min="11" max="11" width="20.85546875" customWidth="1"/>
    <col min="12" max="12" width="21.7109375" customWidth="1"/>
  </cols>
  <sheetData>
    <row r="1" spans="2:12" s="21" customFormat="1" ht="15.75" thickBot="1" x14ac:dyDescent="0.3"/>
    <row r="2" spans="2:12" ht="19.5" thickBot="1" x14ac:dyDescent="0.45">
      <c r="F2" s="222" t="s">
        <v>215</v>
      </c>
      <c r="G2" s="224"/>
      <c r="H2" s="224"/>
      <c r="I2" s="224"/>
      <c r="J2" s="224"/>
      <c r="K2" s="224"/>
      <c r="L2" s="223"/>
    </row>
    <row r="3" spans="2:12" ht="18.75" x14ac:dyDescent="0.4">
      <c r="F3" s="20" t="s">
        <v>216</v>
      </c>
      <c r="G3" s="26" t="s">
        <v>32</v>
      </c>
      <c r="H3" s="19" t="s">
        <v>33</v>
      </c>
      <c r="I3" s="26" t="s">
        <v>35</v>
      </c>
      <c r="J3" s="26" t="s">
        <v>36</v>
      </c>
      <c r="K3" s="26" t="s">
        <v>37</v>
      </c>
      <c r="L3" s="27" t="s">
        <v>38</v>
      </c>
    </row>
    <row r="4" spans="2:12" ht="18.75" x14ac:dyDescent="0.4">
      <c r="F4" s="5" t="s">
        <v>217</v>
      </c>
      <c r="G4" s="164">
        <v>350000</v>
      </c>
      <c r="H4" s="164">
        <v>16</v>
      </c>
      <c r="I4" s="164">
        <f>G4*H4</f>
        <v>5600000</v>
      </c>
      <c r="J4" s="164">
        <f>I4*1.07</f>
        <v>5992000</v>
      </c>
      <c r="K4" s="164">
        <f t="shared" ref="K4:L4" si="0">J4*1.07</f>
        <v>6411440</v>
      </c>
      <c r="L4" s="164">
        <f t="shared" si="0"/>
        <v>6860240.8000000007</v>
      </c>
    </row>
    <row r="5" spans="2:12" ht="18.75" x14ac:dyDescent="0.4">
      <c r="F5" s="5" t="s">
        <v>218</v>
      </c>
      <c r="G5" s="164">
        <v>350000</v>
      </c>
      <c r="H5" s="164">
        <v>12</v>
      </c>
      <c r="I5" s="164">
        <f t="shared" ref="I5:I10" si="1">G5*H5</f>
        <v>4200000</v>
      </c>
      <c r="J5" s="164">
        <f t="shared" ref="J5:L10" si="2">I5*1.07</f>
        <v>4494000</v>
      </c>
      <c r="K5" s="164">
        <f t="shared" si="2"/>
        <v>4808580</v>
      </c>
      <c r="L5" s="164">
        <f t="shared" si="2"/>
        <v>5145180.6000000006</v>
      </c>
    </row>
    <row r="6" spans="2:12" ht="18.75" x14ac:dyDescent="0.4">
      <c r="F6" s="5" t="s">
        <v>219</v>
      </c>
      <c r="G6" s="164">
        <v>350000</v>
      </c>
      <c r="H6" s="164">
        <v>8</v>
      </c>
      <c r="I6" s="164">
        <f t="shared" si="1"/>
        <v>2800000</v>
      </c>
      <c r="J6" s="164">
        <f t="shared" si="2"/>
        <v>2996000</v>
      </c>
      <c r="K6" s="164">
        <f t="shared" si="2"/>
        <v>3205720</v>
      </c>
      <c r="L6" s="164">
        <f t="shared" si="2"/>
        <v>3430120.4000000004</v>
      </c>
    </row>
    <row r="7" spans="2:12" ht="18.75" x14ac:dyDescent="0.4">
      <c r="F7" s="5" t="s">
        <v>220</v>
      </c>
      <c r="G7" s="164">
        <v>500000</v>
      </c>
      <c r="H7" s="164">
        <v>4</v>
      </c>
      <c r="I7" s="164">
        <f t="shared" si="1"/>
        <v>2000000</v>
      </c>
      <c r="J7" s="164">
        <f t="shared" si="2"/>
        <v>2140000</v>
      </c>
      <c r="K7" s="164">
        <f t="shared" si="2"/>
        <v>2289800</v>
      </c>
      <c r="L7" s="164">
        <f t="shared" si="2"/>
        <v>2450086</v>
      </c>
    </row>
    <row r="8" spans="2:12" ht="18.75" x14ac:dyDescent="0.4">
      <c r="F8" s="5" t="s">
        <v>221</v>
      </c>
      <c r="G8" s="164">
        <v>180000</v>
      </c>
      <c r="H8" s="164">
        <v>12</v>
      </c>
      <c r="I8" s="164">
        <f t="shared" si="1"/>
        <v>2160000</v>
      </c>
      <c r="J8" s="164">
        <f t="shared" si="2"/>
        <v>2311200</v>
      </c>
      <c r="K8" s="164">
        <f t="shared" si="2"/>
        <v>2472984</v>
      </c>
      <c r="L8" s="164">
        <f t="shared" si="2"/>
        <v>2646092.8800000004</v>
      </c>
    </row>
    <row r="9" spans="2:12" ht="18.75" x14ac:dyDescent="0.4">
      <c r="F9" s="5" t="s">
        <v>222</v>
      </c>
      <c r="G9" s="164">
        <v>180000</v>
      </c>
      <c r="H9" s="164">
        <v>12</v>
      </c>
      <c r="I9" s="164">
        <f t="shared" si="1"/>
        <v>2160000</v>
      </c>
      <c r="J9" s="164">
        <f t="shared" si="2"/>
        <v>2311200</v>
      </c>
      <c r="K9" s="164">
        <f t="shared" si="2"/>
        <v>2472984</v>
      </c>
      <c r="L9" s="164">
        <f t="shared" si="2"/>
        <v>2646092.8800000004</v>
      </c>
    </row>
    <row r="10" spans="2:12" ht="19.5" thickBot="1" x14ac:dyDescent="0.45">
      <c r="F10" s="29" t="s">
        <v>223</v>
      </c>
      <c r="G10" s="165">
        <v>350000</v>
      </c>
      <c r="H10" s="165">
        <v>8</v>
      </c>
      <c r="I10" s="164">
        <f t="shared" si="1"/>
        <v>2800000</v>
      </c>
      <c r="J10" s="164">
        <f t="shared" si="2"/>
        <v>2996000</v>
      </c>
      <c r="K10" s="164">
        <f t="shared" si="2"/>
        <v>3205720</v>
      </c>
      <c r="L10" s="164">
        <f t="shared" si="2"/>
        <v>3430120.4000000004</v>
      </c>
    </row>
    <row r="11" spans="2:12" ht="19.5" thickBot="1" x14ac:dyDescent="0.45">
      <c r="F11" s="114" t="s">
        <v>34</v>
      </c>
      <c r="G11" s="166">
        <f t="shared" ref="G11:L11" si="3">SUM(G4:G10)</f>
        <v>2260000</v>
      </c>
      <c r="H11" s="166">
        <f t="shared" si="3"/>
        <v>72</v>
      </c>
      <c r="I11" s="166">
        <f t="shared" si="3"/>
        <v>21720000</v>
      </c>
      <c r="J11" s="166">
        <f t="shared" si="3"/>
        <v>23240400</v>
      </c>
      <c r="K11" s="166">
        <f t="shared" si="3"/>
        <v>24867228</v>
      </c>
      <c r="L11" s="166">
        <f t="shared" si="3"/>
        <v>26607933.960000001</v>
      </c>
    </row>
    <row r="12" spans="2:12" ht="15.75" thickBot="1" x14ac:dyDescent="0.3"/>
    <row r="13" spans="2:12" ht="19.5" thickBot="1" x14ac:dyDescent="0.45">
      <c r="B13" s="222" t="s">
        <v>39</v>
      </c>
      <c r="C13" s="224"/>
      <c r="D13" s="224"/>
      <c r="E13" s="224"/>
      <c r="F13" s="223"/>
    </row>
    <row r="14" spans="2:12" ht="18.75" x14ac:dyDescent="0.4">
      <c r="B14" s="20" t="s">
        <v>0</v>
      </c>
      <c r="C14" s="26">
        <v>1</v>
      </c>
      <c r="D14" s="26">
        <v>2</v>
      </c>
      <c r="E14" s="26">
        <v>3</v>
      </c>
      <c r="F14" s="27">
        <v>4</v>
      </c>
    </row>
    <row r="15" spans="2:12" ht="18.75" x14ac:dyDescent="0.4">
      <c r="B15" s="5" t="s">
        <v>225</v>
      </c>
      <c r="C15" s="167">
        <f>NOMINA!F6</f>
        <v>35135033.600000001</v>
      </c>
      <c r="D15" s="167">
        <f>NOMINA!G6</f>
        <v>36891785.280000001</v>
      </c>
      <c r="E15" s="167">
        <f>D15*1.05</f>
        <v>38736374.544</v>
      </c>
      <c r="F15" s="168">
        <f>E15*1.05</f>
        <v>40673193.271200001</v>
      </c>
    </row>
    <row r="16" spans="2:12" s="21" customFormat="1" ht="18.75" x14ac:dyDescent="0.4">
      <c r="B16" s="5" t="s">
        <v>226</v>
      </c>
      <c r="C16" s="167">
        <f>NOMINA!G75</f>
        <v>13957535.7911456</v>
      </c>
      <c r="D16" s="167">
        <f>C16*1.05</f>
        <v>14655412.58070288</v>
      </c>
      <c r="E16" s="167">
        <f t="shared" ref="E16:F16" si="4">D16*1.05</f>
        <v>15388183.209738025</v>
      </c>
      <c r="F16" s="168">
        <f t="shared" si="4"/>
        <v>16157592.370224927</v>
      </c>
    </row>
    <row r="17" spans="2:10" ht="18.75" x14ac:dyDescent="0.4">
      <c r="B17" s="5" t="s">
        <v>227</v>
      </c>
      <c r="C17" s="167">
        <f>NOMINA!F11</f>
        <v>11690515</v>
      </c>
      <c r="D17" s="167">
        <f>C17*1.05</f>
        <v>12275040.75</v>
      </c>
      <c r="E17" s="167">
        <f>D17*1.05</f>
        <v>12888792.7875</v>
      </c>
      <c r="F17" s="168">
        <f>E17*1.05</f>
        <v>13533232.426875001</v>
      </c>
    </row>
    <row r="18" spans="2:10" ht="19.5" thickBot="1" x14ac:dyDescent="0.45">
      <c r="B18" s="122" t="s">
        <v>40</v>
      </c>
      <c r="C18" s="169">
        <f>SUM(C15:C17)</f>
        <v>60783084.391145602</v>
      </c>
      <c r="D18" s="169">
        <f>SUM(D15:D17)</f>
        <v>63822238.61070288</v>
      </c>
      <c r="E18" s="169">
        <f>SUM(E15:E17)</f>
        <v>67013350.541238025</v>
      </c>
      <c r="F18" s="170">
        <f>SUM(F15:F17)</f>
        <v>70364018.068299919</v>
      </c>
      <c r="G18" s="118"/>
      <c r="H18" s="118"/>
    </row>
    <row r="19" spans="2:10" ht="15.75" thickBot="1" x14ac:dyDescent="0.3"/>
    <row r="20" spans="2:10" ht="19.5" thickBot="1" x14ac:dyDescent="0.45">
      <c r="B20" s="225" t="s">
        <v>41</v>
      </c>
      <c r="C20" s="226"/>
      <c r="D20" s="226"/>
      <c r="E20" s="226"/>
      <c r="F20" s="227"/>
      <c r="I20">
        <v>7.0000000000000007E-2</v>
      </c>
    </row>
    <row r="21" spans="2:10" s="21" customFormat="1" ht="18.75" x14ac:dyDescent="0.4">
      <c r="B21" s="13" t="s">
        <v>0</v>
      </c>
      <c r="C21" s="36">
        <v>1</v>
      </c>
      <c r="D21" s="36">
        <v>2</v>
      </c>
      <c r="E21" s="36">
        <v>3</v>
      </c>
      <c r="F21" s="173">
        <v>4</v>
      </c>
      <c r="G21" s="116"/>
      <c r="H21" s="116"/>
      <c r="I21" s="117"/>
    </row>
    <row r="22" spans="2:10" ht="18.75" x14ac:dyDescent="0.4">
      <c r="B22" s="5" t="s">
        <v>42</v>
      </c>
      <c r="C22" s="167">
        <v>0</v>
      </c>
      <c r="D22" s="167">
        <f>C22*1.07</f>
        <v>0</v>
      </c>
      <c r="E22" s="167">
        <f t="shared" ref="E22:F22" si="5">D22*1.07</f>
        <v>0</v>
      </c>
      <c r="F22" s="168">
        <f t="shared" si="5"/>
        <v>0</v>
      </c>
    </row>
    <row r="23" spans="2:10" ht="18.75" x14ac:dyDescent="0.4">
      <c r="B23" s="5" t="s">
        <v>43</v>
      </c>
      <c r="C23" s="167">
        <f>474500000*0.05</f>
        <v>23725000</v>
      </c>
      <c r="D23" s="167">
        <f>C23*1.07</f>
        <v>25385750</v>
      </c>
      <c r="E23" s="167">
        <f>D23*1.07</f>
        <v>27162752.5</v>
      </c>
      <c r="F23" s="168">
        <f>E23*1.07</f>
        <v>29064145.175000001</v>
      </c>
    </row>
    <row r="24" spans="2:10" ht="18.75" x14ac:dyDescent="0.4">
      <c r="B24" s="5" t="s">
        <v>44</v>
      </c>
      <c r="C24" s="167">
        <v>4800000</v>
      </c>
      <c r="D24" s="167">
        <f>C24*1.07</f>
        <v>5136000</v>
      </c>
      <c r="E24" s="167">
        <f t="shared" ref="E24:F24" si="6">D24*1.07</f>
        <v>5495520</v>
      </c>
      <c r="F24" s="168">
        <f t="shared" si="6"/>
        <v>5880206.4000000004</v>
      </c>
    </row>
    <row r="25" spans="2:10" ht="19.5" thickBot="1" x14ac:dyDescent="0.45">
      <c r="B25" s="123" t="s">
        <v>34</v>
      </c>
      <c r="C25" s="171">
        <f>SUM(C22:C24)</f>
        <v>28525000</v>
      </c>
      <c r="D25" s="171">
        <f>SUM(D22:D24)</f>
        <v>30521750</v>
      </c>
      <c r="E25" s="171">
        <f>SUM(E22:E24)</f>
        <v>32658272.5</v>
      </c>
      <c r="F25" s="172">
        <f>SUM(F22:F24)</f>
        <v>34944351.575000003</v>
      </c>
    </row>
    <row r="27" spans="2:10" ht="18.75" x14ac:dyDescent="0.4">
      <c r="B27" s="228"/>
      <c r="C27" s="228"/>
      <c r="D27" s="228"/>
      <c r="E27" s="228"/>
      <c r="F27" s="228"/>
      <c r="G27" s="228"/>
      <c r="H27" s="126"/>
      <c r="I27" s="116"/>
      <c r="J27" s="117"/>
    </row>
    <row r="28" spans="2:10" ht="18.75" x14ac:dyDescent="0.4">
      <c r="B28" s="116"/>
      <c r="C28" s="116"/>
      <c r="D28" s="116"/>
      <c r="E28" s="116"/>
      <c r="F28" s="116"/>
      <c r="G28" s="116"/>
      <c r="H28" s="116"/>
      <c r="I28" s="127"/>
    </row>
    <row r="29" spans="2:10" ht="18.75" x14ac:dyDescent="0.4">
      <c r="B29" s="116"/>
      <c r="C29" s="116"/>
      <c r="D29" s="116"/>
      <c r="E29" s="116"/>
      <c r="F29" s="116"/>
      <c r="G29" s="116"/>
      <c r="H29" s="116"/>
      <c r="I29" s="127"/>
    </row>
    <row r="30" spans="2:10" ht="18.75" x14ac:dyDescent="0.4">
      <c r="B30" s="116"/>
      <c r="C30" s="116"/>
      <c r="D30" s="116"/>
      <c r="E30" s="116"/>
      <c r="F30" s="116"/>
      <c r="G30" s="116"/>
      <c r="H30" s="116"/>
      <c r="I30" s="127"/>
    </row>
    <row r="31" spans="2:10" ht="18.75" x14ac:dyDescent="0.4">
      <c r="B31" s="116"/>
      <c r="C31" s="116"/>
      <c r="D31" s="116"/>
      <c r="E31" s="116"/>
      <c r="F31" s="116"/>
      <c r="G31" s="116"/>
      <c r="H31" s="116"/>
      <c r="I31" s="127"/>
    </row>
    <row r="32" spans="2:10" ht="18.75" x14ac:dyDescent="0.4">
      <c r="B32" s="116"/>
      <c r="C32" s="116"/>
      <c r="D32" s="116"/>
      <c r="E32" s="116"/>
      <c r="F32" s="116"/>
      <c r="G32" s="116"/>
      <c r="H32" s="116"/>
      <c r="I32" s="127"/>
    </row>
    <row r="33" spans="2:8" ht="15.75" thickBot="1" x14ac:dyDescent="0.3">
      <c r="H33" s="121">
        <v>6118</v>
      </c>
    </row>
    <row r="34" spans="2:8" ht="18.75" x14ac:dyDescent="0.4">
      <c r="B34" s="128" t="s">
        <v>45</v>
      </c>
      <c r="C34" s="129" t="s">
        <v>10</v>
      </c>
      <c r="D34" s="129" t="s">
        <v>47</v>
      </c>
      <c r="E34" s="129" t="s">
        <v>12</v>
      </c>
      <c r="F34" s="130" t="s">
        <v>11</v>
      </c>
      <c r="H34" s="121">
        <v>6923</v>
      </c>
    </row>
    <row r="35" spans="2:8" ht="18.75" x14ac:dyDescent="0.4">
      <c r="B35" s="5" t="s">
        <v>46</v>
      </c>
      <c r="C35" s="120">
        <f>(C25+C18+I11)/'PROYECCION Y UNIDADES'!H5</f>
        <v>18148.961094407219</v>
      </c>
      <c r="D35" s="120">
        <f>(D25+D18+J11)/H34</f>
        <v>16984.600405994926</v>
      </c>
      <c r="E35" s="120">
        <f>(E25+E18+K11)/H35</f>
        <v>15897.223773453921</v>
      </c>
      <c r="F35" s="124">
        <f>(F25+F18+L11)/H36</f>
        <v>14880.575702571903</v>
      </c>
      <c r="H35" s="121">
        <v>7834</v>
      </c>
    </row>
    <row r="36" spans="2:8" ht="19.5" thickBot="1" x14ac:dyDescent="0.45">
      <c r="B36" s="122" t="s">
        <v>34</v>
      </c>
      <c r="C36" s="125">
        <f>C35*H33</f>
        <v>111035343.97558337</v>
      </c>
      <c r="D36" s="125">
        <f>D35*H34</f>
        <v>117584388.61070287</v>
      </c>
      <c r="E36" s="125">
        <f>E35*H35</f>
        <v>124538851.04123802</v>
      </c>
      <c r="F36" s="131">
        <f>F35*H36</f>
        <v>131916303.60329992</v>
      </c>
      <c r="H36" s="121">
        <v>8865</v>
      </c>
    </row>
  </sheetData>
  <mergeCells count="4">
    <mergeCell ref="F2:L2"/>
    <mergeCell ref="B13:F13"/>
    <mergeCell ref="B20:F20"/>
    <mergeCell ref="B27:G27"/>
  </mergeCells>
  <pageMargins left="0.7" right="0.7" top="0.75" bottom="0.75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H21"/>
  <sheetViews>
    <sheetView workbookViewId="0">
      <selection activeCell="B17" sqref="B17"/>
    </sheetView>
  </sheetViews>
  <sheetFormatPr baseColWidth="10" defaultRowHeight="15" x14ac:dyDescent="0.25"/>
  <cols>
    <col min="4" max="4" width="37.5703125" customWidth="1"/>
    <col min="5" max="5" width="23.140625" customWidth="1"/>
    <col min="6" max="6" width="24.5703125" customWidth="1"/>
    <col min="7" max="7" width="22.7109375" customWidth="1"/>
    <col min="8" max="8" width="24.28515625" customWidth="1"/>
  </cols>
  <sheetData>
    <row r="1" spans="4:8" ht="15.75" thickBot="1" x14ac:dyDescent="0.3"/>
    <row r="2" spans="4:8" ht="19.5" thickBot="1" x14ac:dyDescent="0.45">
      <c r="D2" s="229" t="s">
        <v>245</v>
      </c>
      <c r="E2" s="230"/>
      <c r="F2" s="230"/>
      <c r="G2" s="230"/>
      <c r="H2" s="231"/>
    </row>
    <row r="3" spans="4:8" ht="18.75" x14ac:dyDescent="0.4">
      <c r="D3" s="20" t="s">
        <v>113</v>
      </c>
      <c r="E3" s="26">
        <v>1</v>
      </c>
      <c r="F3" s="26">
        <v>2</v>
      </c>
      <c r="G3" s="26">
        <v>3</v>
      </c>
      <c r="H3" s="27">
        <v>4</v>
      </c>
    </row>
    <row r="4" spans="4:8" ht="18.75" x14ac:dyDescent="0.4">
      <c r="D4" s="5" t="s">
        <v>246</v>
      </c>
      <c r="E4" s="167">
        <f>NOMINA!F4</f>
        <v>44918792</v>
      </c>
      <c r="F4" s="167">
        <f t="shared" ref="F4:H5" si="0">E4*1.05</f>
        <v>47164731.600000001</v>
      </c>
      <c r="G4" s="167">
        <f t="shared" si="0"/>
        <v>49522968.180000007</v>
      </c>
      <c r="H4" s="168">
        <f t="shared" si="0"/>
        <v>51999116.589000009</v>
      </c>
    </row>
    <row r="5" spans="4:8" ht="18.75" x14ac:dyDescent="0.4">
      <c r="D5" s="5" t="s">
        <v>247</v>
      </c>
      <c r="E5" s="167">
        <f>NOMINA!F7</f>
        <v>12605054.624478932</v>
      </c>
      <c r="F5" s="167">
        <f t="shared" si="0"/>
        <v>13235307.355702879</v>
      </c>
      <c r="G5" s="167">
        <f t="shared" si="0"/>
        <v>13897072.723488024</v>
      </c>
      <c r="H5" s="168">
        <f t="shared" si="0"/>
        <v>14591926.359662425</v>
      </c>
    </row>
    <row r="6" spans="4:8" ht="18.75" x14ac:dyDescent="0.4">
      <c r="D6" s="5" t="s">
        <v>248</v>
      </c>
      <c r="E6" s="167">
        <v>18000000</v>
      </c>
      <c r="F6" s="167">
        <f t="shared" ref="F6:H9" si="1">E6*1.05</f>
        <v>18900000</v>
      </c>
      <c r="G6" s="167">
        <f t="shared" si="1"/>
        <v>19845000</v>
      </c>
      <c r="H6" s="168">
        <f t="shared" si="1"/>
        <v>20837250</v>
      </c>
    </row>
    <row r="7" spans="4:8" ht="18.75" x14ac:dyDescent="0.4">
      <c r="D7" s="5" t="s">
        <v>249</v>
      </c>
      <c r="E7" s="167">
        <f>NOMINA!G51</f>
        <v>30088180.669164799</v>
      </c>
      <c r="F7" s="167">
        <f t="shared" si="1"/>
        <v>31592589.702623039</v>
      </c>
      <c r="G7" s="167">
        <f t="shared" si="1"/>
        <v>33172219.187754191</v>
      </c>
      <c r="H7" s="168">
        <f t="shared" si="1"/>
        <v>34830830.147141904</v>
      </c>
    </row>
    <row r="8" spans="4:8" s="21" customFormat="1" ht="18.75" x14ac:dyDescent="0.4">
      <c r="D8" s="5" t="s">
        <v>248</v>
      </c>
      <c r="E8" s="167">
        <f>E5</f>
        <v>12605054.624478932</v>
      </c>
      <c r="F8" s="167">
        <f t="shared" si="1"/>
        <v>13235307.355702879</v>
      </c>
      <c r="G8" s="167">
        <f t="shared" si="1"/>
        <v>13897072.723488024</v>
      </c>
      <c r="H8" s="168">
        <f t="shared" si="1"/>
        <v>14591926.359662425</v>
      </c>
    </row>
    <row r="9" spans="4:8" s="21" customFormat="1" ht="18.75" x14ac:dyDescent="0.4">
      <c r="D9" s="5" t="s">
        <v>250</v>
      </c>
      <c r="E9" s="167">
        <f>NOMINA!G63</f>
        <v>13957535.7911456</v>
      </c>
      <c r="F9" s="167">
        <f t="shared" si="1"/>
        <v>14655412.58070288</v>
      </c>
      <c r="G9" s="167">
        <f t="shared" si="1"/>
        <v>15388183.209738025</v>
      </c>
      <c r="H9" s="168">
        <f t="shared" si="1"/>
        <v>16157592.370224927</v>
      </c>
    </row>
    <row r="10" spans="4:8" s="21" customFormat="1" ht="18.75" x14ac:dyDescent="0.4">
      <c r="D10" s="5" t="s">
        <v>251</v>
      </c>
      <c r="E10" s="167">
        <v>500000</v>
      </c>
      <c r="F10" s="167">
        <f t="shared" ref="F10:H10" si="2">E10*1.0244</f>
        <v>512200</v>
      </c>
      <c r="G10" s="167">
        <f t="shared" si="2"/>
        <v>524697.67999999993</v>
      </c>
      <c r="H10" s="168">
        <f t="shared" si="2"/>
        <v>537500.30339199991</v>
      </c>
    </row>
    <row r="11" spans="4:8" ht="18.75" x14ac:dyDescent="0.4">
      <c r="D11" s="5" t="s">
        <v>252</v>
      </c>
      <c r="E11" s="167">
        <v>475000</v>
      </c>
      <c r="F11" s="167">
        <f>E11*1.07</f>
        <v>508250.00000000006</v>
      </c>
      <c r="G11" s="167">
        <f>F11*1.07</f>
        <v>543827.50000000012</v>
      </c>
      <c r="H11" s="168">
        <f>G11*1.07</f>
        <v>581895.42500000016</v>
      </c>
    </row>
    <row r="12" spans="4:8" ht="19.5" thickBot="1" x14ac:dyDescent="0.45">
      <c r="D12" s="6" t="s">
        <v>245</v>
      </c>
      <c r="E12" s="163">
        <f>SUM(E4:E11)</f>
        <v>133149617.70926827</v>
      </c>
      <c r="F12" s="163">
        <f>SUM(F4:F11)</f>
        <v>139803798.59473166</v>
      </c>
      <c r="G12" s="163">
        <f>SUM(G4:G11)</f>
        <v>146791041.20446828</v>
      </c>
      <c r="H12" s="159">
        <f>SUM(H4:H11)</f>
        <v>154128037.55408368</v>
      </c>
    </row>
    <row r="14" spans="4:8" ht="15.75" thickBot="1" x14ac:dyDescent="0.3"/>
    <row r="15" spans="4:8" ht="18.75" x14ac:dyDescent="0.4">
      <c r="D15" s="229" t="s">
        <v>49</v>
      </c>
      <c r="E15" s="230"/>
      <c r="F15" s="230"/>
      <c r="G15" s="230"/>
      <c r="H15" s="231"/>
    </row>
    <row r="16" spans="4:8" ht="18.75" x14ac:dyDescent="0.4">
      <c r="D16" s="4" t="s">
        <v>0</v>
      </c>
      <c r="E16" s="4">
        <v>1</v>
      </c>
      <c r="F16" s="4">
        <v>2</v>
      </c>
      <c r="G16" s="4">
        <v>3</v>
      </c>
      <c r="H16" s="4">
        <v>4</v>
      </c>
    </row>
    <row r="17" spans="4:8" ht="18.75" x14ac:dyDescent="0.4">
      <c r="D17" s="4" t="s">
        <v>50</v>
      </c>
      <c r="E17" s="167">
        <f>1500000*12</f>
        <v>18000000</v>
      </c>
      <c r="F17" s="167">
        <f>E17*1.07</f>
        <v>19260000</v>
      </c>
      <c r="G17" s="167">
        <f t="shared" ref="G17:H17" si="3">F17*1.07</f>
        <v>20608200</v>
      </c>
      <c r="H17" s="167">
        <f t="shared" si="3"/>
        <v>22050774</v>
      </c>
    </row>
    <row r="18" spans="4:8" ht="18.75" x14ac:dyDescent="0.4">
      <c r="D18" s="4" t="s">
        <v>51</v>
      </c>
      <c r="E18" s="167">
        <f>950000*12</f>
        <v>11400000</v>
      </c>
      <c r="F18" s="167">
        <f>E18*1.07</f>
        <v>12198000</v>
      </c>
      <c r="G18" s="167">
        <f t="shared" ref="G18:H18" si="4">F18*1.07</f>
        <v>13051860</v>
      </c>
      <c r="H18" s="167">
        <f t="shared" si="4"/>
        <v>13965490.200000001</v>
      </c>
    </row>
    <row r="19" spans="4:8" ht="18.75" x14ac:dyDescent="0.4">
      <c r="D19" s="4" t="s">
        <v>228</v>
      </c>
      <c r="E19" s="167">
        <v>2000000</v>
      </c>
      <c r="F19" s="167">
        <f>E19*1.07</f>
        <v>2140000</v>
      </c>
      <c r="G19" s="167">
        <f t="shared" ref="G19:H19" si="5">F19*1.07</f>
        <v>2289800</v>
      </c>
      <c r="H19" s="167">
        <f t="shared" si="5"/>
        <v>2450086</v>
      </c>
    </row>
    <row r="20" spans="4:8" ht="18.75" x14ac:dyDescent="0.4">
      <c r="D20" s="4" t="s">
        <v>52</v>
      </c>
      <c r="E20" s="167">
        <f>200000*12</f>
        <v>2400000</v>
      </c>
      <c r="F20" s="167">
        <f>E20*1.07</f>
        <v>2568000</v>
      </c>
      <c r="G20" s="167">
        <f t="shared" ref="G20:H20" si="6">F20*1.07</f>
        <v>2747760</v>
      </c>
      <c r="H20" s="167">
        <f t="shared" si="6"/>
        <v>2940103.2</v>
      </c>
    </row>
    <row r="21" spans="4:8" ht="18.75" x14ac:dyDescent="0.4">
      <c r="D21" s="4" t="s">
        <v>229</v>
      </c>
      <c r="E21" s="174">
        <f>SUM(E17:E20)</f>
        <v>33800000</v>
      </c>
      <c r="F21" s="174">
        <f>SUM(F17:F20)</f>
        <v>36166000</v>
      </c>
      <c r="G21" s="174">
        <f>SUM(G17:G20)</f>
        <v>38697620</v>
      </c>
      <c r="H21" s="174">
        <f>SUM(H17:H20)</f>
        <v>41406453.400000006</v>
      </c>
    </row>
  </sheetData>
  <mergeCells count="2">
    <mergeCell ref="D2:H2"/>
    <mergeCell ref="D15:H1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I8"/>
  <sheetViews>
    <sheetView workbookViewId="0">
      <selection activeCell="J16" sqref="J16"/>
    </sheetView>
  </sheetViews>
  <sheetFormatPr baseColWidth="10" defaultRowHeight="15" x14ac:dyDescent="0.25"/>
  <cols>
    <col min="5" max="5" width="26.85546875" customWidth="1"/>
    <col min="6" max="6" width="24.140625" customWidth="1"/>
    <col min="7" max="7" width="23" customWidth="1"/>
    <col min="8" max="8" width="26.42578125" customWidth="1"/>
    <col min="9" max="9" width="23" customWidth="1"/>
  </cols>
  <sheetData>
    <row r="3" spans="5:9" ht="15.75" thickBot="1" x14ac:dyDescent="0.3"/>
    <row r="4" spans="5:9" ht="19.5" thickBot="1" x14ac:dyDescent="0.45">
      <c r="E4" s="232" t="s">
        <v>53</v>
      </c>
      <c r="F4" s="233"/>
      <c r="G4" s="233"/>
      <c r="H4" s="233"/>
      <c r="I4" s="234"/>
    </row>
    <row r="5" spans="5:9" ht="19.5" thickBot="1" x14ac:dyDescent="0.45">
      <c r="F5" s="135" t="s">
        <v>54</v>
      </c>
      <c r="G5" s="175">
        <v>60000</v>
      </c>
      <c r="H5" s="37" t="s">
        <v>17</v>
      </c>
      <c r="I5" s="134">
        <v>0.05</v>
      </c>
    </row>
    <row r="6" spans="5:9" ht="18.75" x14ac:dyDescent="0.4">
      <c r="E6" s="20" t="s">
        <v>0</v>
      </c>
      <c r="F6" s="26">
        <v>1</v>
      </c>
      <c r="G6" s="26">
        <v>2</v>
      </c>
      <c r="H6" s="26">
        <v>3</v>
      </c>
      <c r="I6" s="27">
        <v>4</v>
      </c>
    </row>
    <row r="7" spans="5:9" ht="18.75" x14ac:dyDescent="0.4">
      <c r="E7" s="5" t="s">
        <v>55</v>
      </c>
      <c r="F7" s="132">
        <f>'PROYECCION Y UNIDADES'!H5</f>
        <v>6117.6</v>
      </c>
      <c r="G7" s="132">
        <f>'PROYECCION Y UNIDADES'!H6</f>
        <v>6922.67616</v>
      </c>
      <c r="H7" s="132">
        <f>'PROYECCION Y UNIDADES'!H7</f>
        <v>7833.7003426560004</v>
      </c>
      <c r="I7" s="133">
        <f>'PROYECCION Y UNIDADES'!H8</f>
        <v>8864.6153077495292</v>
      </c>
    </row>
    <row r="8" spans="5:9" ht="19.5" thickBot="1" x14ac:dyDescent="0.45">
      <c r="E8" s="6" t="s">
        <v>56</v>
      </c>
      <c r="F8" s="163">
        <f>F7*G5</f>
        <v>367056000</v>
      </c>
      <c r="G8" s="163">
        <f>(G5*1.05)*G7</f>
        <v>436128598.07999998</v>
      </c>
      <c r="H8" s="163">
        <f>(G5*1.05*1.05)*H7</f>
        <v>518199277.6666944</v>
      </c>
      <c r="I8" s="159">
        <f>(G5*1.05*1.05*1.05)*I7</f>
        <v>615714017.73801291</v>
      </c>
    </row>
  </sheetData>
  <mergeCells count="1">
    <mergeCell ref="E4:I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I9"/>
  <sheetViews>
    <sheetView zoomScale="90" zoomScaleNormal="90" workbookViewId="0">
      <selection activeCell="F8" sqref="F8"/>
    </sheetView>
  </sheetViews>
  <sheetFormatPr baseColWidth="10" defaultRowHeight="15" x14ac:dyDescent="0.25"/>
  <cols>
    <col min="3" max="3" width="19" customWidth="1"/>
    <col min="4" max="4" width="32.5703125" customWidth="1"/>
    <col min="5" max="5" width="23.140625" customWidth="1"/>
    <col min="6" max="6" width="23.42578125" customWidth="1"/>
    <col min="7" max="7" width="22.140625" customWidth="1"/>
    <col min="8" max="8" width="23.140625" customWidth="1"/>
    <col min="9" max="9" width="20.7109375" customWidth="1"/>
  </cols>
  <sheetData>
    <row r="1" spans="4:9" ht="15.75" thickBot="1" x14ac:dyDescent="0.3"/>
    <row r="2" spans="4:9" ht="19.5" thickBot="1" x14ac:dyDescent="0.45">
      <c r="D2" s="225" t="s">
        <v>115</v>
      </c>
      <c r="E2" s="226"/>
      <c r="F2" s="226"/>
      <c r="G2" s="226"/>
      <c r="H2" s="226"/>
      <c r="I2" s="227"/>
    </row>
    <row r="3" spans="4:9" s="21" customFormat="1" ht="18.75" x14ac:dyDescent="0.4">
      <c r="D3" s="20" t="s">
        <v>0</v>
      </c>
      <c r="E3" s="26">
        <v>0</v>
      </c>
      <c r="F3" s="26">
        <v>1</v>
      </c>
      <c r="G3" s="26">
        <v>2</v>
      </c>
      <c r="H3" s="26">
        <v>3</v>
      </c>
      <c r="I3" s="27">
        <v>4</v>
      </c>
    </row>
    <row r="4" spans="4:9" ht="23.25" customHeight="1" x14ac:dyDescent="0.4">
      <c r="D4" s="176" t="s">
        <v>116</v>
      </c>
      <c r="E4" s="167">
        <f>COSTOS!C36</f>
        <v>111035343.97558337</v>
      </c>
      <c r="F4" s="167">
        <f>COSTOS!D36</f>
        <v>117584388.61070287</v>
      </c>
      <c r="G4" s="167">
        <f>COSTOS!E36</f>
        <v>124538851.04123802</v>
      </c>
      <c r="H4" s="167">
        <f>COSTOS!F36</f>
        <v>131916303.60329992</v>
      </c>
      <c r="I4" s="168"/>
    </row>
    <row r="5" spans="4:9" ht="21.75" customHeight="1" x14ac:dyDescent="0.4">
      <c r="D5" s="5" t="s">
        <v>48</v>
      </c>
      <c r="E5" s="167">
        <f>'GASTOS OPERATIVOS'!E12</f>
        <v>133149617.70926827</v>
      </c>
      <c r="F5" s="167">
        <f>'GASTOS OPERATIVOS'!F12</f>
        <v>139803798.59473166</v>
      </c>
      <c r="G5" s="167">
        <f>'GASTOS OPERATIVOS'!G12</f>
        <v>146791041.20446828</v>
      </c>
      <c r="H5" s="167">
        <f>'GASTOS OPERATIVOS'!H12</f>
        <v>154128037.55408368</v>
      </c>
      <c r="I5" s="168"/>
    </row>
    <row r="6" spans="4:9" ht="21" customHeight="1" x14ac:dyDescent="0.4">
      <c r="D6" s="5" t="s">
        <v>117</v>
      </c>
      <c r="E6" s="167">
        <f>'GASTOS OPERATIVOS'!E21</f>
        <v>33800000</v>
      </c>
      <c r="F6" s="167">
        <f>'GASTOS OPERATIVOS'!$F$21</f>
        <v>36166000</v>
      </c>
      <c r="G6" s="167">
        <f>'GASTOS OPERATIVOS'!$G$21</f>
        <v>38697620</v>
      </c>
      <c r="H6" s="167">
        <f>'GASTOS OPERATIVOS'!$H$21</f>
        <v>41406453.400000006</v>
      </c>
      <c r="I6" s="168"/>
    </row>
    <row r="7" spans="4:9" ht="18.75" x14ac:dyDescent="0.4">
      <c r="D7" s="5" t="s">
        <v>118</v>
      </c>
      <c r="E7" s="167">
        <f>E4+E5+E6</f>
        <v>277984961.68485165</v>
      </c>
      <c r="F7" s="167">
        <f t="shared" ref="F7:H7" si="0">F4+F5+F6</f>
        <v>293554187.20543456</v>
      </c>
      <c r="G7" s="167">
        <f t="shared" si="0"/>
        <v>310027512.24570632</v>
      </c>
      <c r="H7" s="167">
        <f t="shared" si="0"/>
        <v>327450794.55738354</v>
      </c>
      <c r="I7" s="168"/>
    </row>
    <row r="8" spans="4:9" ht="25.5" customHeight="1" x14ac:dyDescent="0.4">
      <c r="D8" s="5" t="s">
        <v>115</v>
      </c>
      <c r="E8" s="167">
        <f>E7/12</f>
        <v>23165413.473737638</v>
      </c>
      <c r="F8" s="167">
        <f>F7/12</f>
        <v>24462848.933786213</v>
      </c>
      <c r="G8" s="167">
        <f>G7/12</f>
        <v>25835626.020475525</v>
      </c>
      <c r="H8" s="167">
        <f>H7/12</f>
        <v>27287566.213115294</v>
      </c>
      <c r="I8" s="168"/>
    </row>
    <row r="9" spans="4:9" ht="29.25" customHeight="1" thickBot="1" x14ac:dyDescent="0.45">
      <c r="D9" s="6" t="s">
        <v>238</v>
      </c>
      <c r="E9" s="163">
        <f>E8</f>
        <v>23165413.473737638</v>
      </c>
      <c r="F9" s="163">
        <f>F8-E8</f>
        <v>1297435.460048575</v>
      </c>
      <c r="G9" s="163">
        <f>G8-F8</f>
        <v>1372777.086689312</v>
      </c>
      <c r="H9" s="163">
        <f>H8-G8</f>
        <v>1451940.1926397681</v>
      </c>
      <c r="I9" s="159">
        <f>E9+F9+G9+H9</f>
        <v>27287566.213115294</v>
      </c>
    </row>
  </sheetData>
  <mergeCells count="1">
    <mergeCell ref="D2:I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K24"/>
  <sheetViews>
    <sheetView topLeftCell="D1" zoomScale="90" zoomScaleNormal="90" workbookViewId="0">
      <selection activeCell="L20" sqref="L20"/>
    </sheetView>
  </sheetViews>
  <sheetFormatPr baseColWidth="10" defaultRowHeight="15" x14ac:dyDescent="0.25"/>
  <cols>
    <col min="5" max="5" width="37.28515625" customWidth="1"/>
    <col min="6" max="6" width="12.85546875" customWidth="1"/>
    <col min="7" max="7" width="21.7109375" customWidth="1"/>
    <col min="8" max="8" width="22.28515625" customWidth="1"/>
    <col min="9" max="9" width="13.7109375" customWidth="1"/>
    <col min="10" max="10" width="23.28515625" customWidth="1"/>
    <col min="11" max="11" width="25.7109375" customWidth="1"/>
    <col min="12" max="12" width="19.5703125" customWidth="1"/>
  </cols>
  <sheetData>
    <row r="1" spans="5:11" ht="15.75" thickBot="1" x14ac:dyDescent="0.3"/>
    <row r="2" spans="5:11" ht="19.5" thickBot="1" x14ac:dyDescent="0.45">
      <c r="E2" s="229" t="s">
        <v>57</v>
      </c>
      <c r="F2" s="230"/>
      <c r="G2" s="230"/>
      <c r="H2" s="230"/>
      <c r="I2" s="230"/>
      <c r="J2" s="230"/>
      <c r="K2" s="231"/>
    </row>
    <row r="3" spans="5:11" ht="18.75" x14ac:dyDescent="0.4">
      <c r="E3" s="33" t="s">
        <v>58</v>
      </c>
      <c r="F3" s="34" t="s">
        <v>33</v>
      </c>
      <c r="G3" s="34" t="s">
        <v>59</v>
      </c>
      <c r="H3" s="34" t="s">
        <v>60</v>
      </c>
      <c r="I3" s="34" t="s">
        <v>61</v>
      </c>
      <c r="J3" s="34" t="s">
        <v>62</v>
      </c>
      <c r="K3" s="35" t="s">
        <v>63</v>
      </c>
    </row>
    <row r="4" spans="5:11" ht="18.75" x14ac:dyDescent="0.4">
      <c r="E4" s="5" t="s">
        <v>232</v>
      </c>
      <c r="F4" s="119">
        <v>4</v>
      </c>
      <c r="G4" s="167">
        <v>22000000</v>
      </c>
      <c r="H4" s="167">
        <f>G4*F4</f>
        <v>88000000</v>
      </c>
      <c r="I4" s="179">
        <v>4</v>
      </c>
      <c r="J4" s="167">
        <f>H4/I4</f>
        <v>22000000</v>
      </c>
      <c r="K4" s="168">
        <f>H4-(4*J4)</f>
        <v>0</v>
      </c>
    </row>
    <row r="5" spans="5:11" ht="18.75" x14ac:dyDescent="0.4">
      <c r="E5" s="5" t="s">
        <v>218</v>
      </c>
      <c r="F5" s="119">
        <v>3</v>
      </c>
      <c r="G5" s="167">
        <v>21500000</v>
      </c>
      <c r="H5" s="167">
        <f t="shared" ref="H5:H12" si="0">G5*F5</f>
        <v>64500000</v>
      </c>
      <c r="I5" s="179">
        <v>5</v>
      </c>
      <c r="J5" s="167">
        <f t="shared" ref="J5:J14" si="1">H5/I5</f>
        <v>12900000</v>
      </c>
      <c r="K5" s="168">
        <f t="shared" ref="K5:K14" si="2">H5-(4*J5)</f>
        <v>12900000</v>
      </c>
    </row>
    <row r="6" spans="5:11" ht="18.75" x14ac:dyDescent="0.4">
      <c r="E6" s="5" t="s">
        <v>219</v>
      </c>
      <c r="F6" s="119">
        <v>2</v>
      </c>
      <c r="G6" s="167">
        <v>38000000</v>
      </c>
      <c r="H6" s="167">
        <f t="shared" si="0"/>
        <v>76000000</v>
      </c>
      <c r="I6" s="179">
        <v>5</v>
      </c>
      <c r="J6" s="167">
        <f t="shared" si="1"/>
        <v>15200000</v>
      </c>
      <c r="K6" s="168">
        <f t="shared" si="2"/>
        <v>15200000</v>
      </c>
    </row>
    <row r="7" spans="5:11" ht="18.75" x14ac:dyDescent="0.4">
      <c r="E7" s="5" t="s">
        <v>220</v>
      </c>
      <c r="F7" s="119">
        <v>2</v>
      </c>
      <c r="G7" s="167">
        <v>36000000</v>
      </c>
      <c r="H7" s="167">
        <f t="shared" si="0"/>
        <v>72000000</v>
      </c>
      <c r="I7" s="179">
        <v>5</v>
      </c>
      <c r="J7" s="167">
        <f t="shared" si="1"/>
        <v>14400000</v>
      </c>
      <c r="K7" s="168">
        <f t="shared" si="2"/>
        <v>14400000</v>
      </c>
    </row>
    <row r="8" spans="5:11" ht="18.75" x14ac:dyDescent="0.4">
      <c r="E8" s="5" t="s">
        <v>233</v>
      </c>
      <c r="F8" s="119">
        <v>2</v>
      </c>
      <c r="G8" s="167">
        <v>24000000</v>
      </c>
      <c r="H8" s="167">
        <f t="shared" si="0"/>
        <v>48000000</v>
      </c>
      <c r="I8" s="179">
        <v>4</v>
      </c>
      <c r="J8" s="167">
        <f t="shared" si="1"/>
        <v>12000000</v>
      </c>
      <c r="K8" s="168">
        <f t="shared" si="2"/>
        <v>0</v>
      </c>
    </row>
    <row r="9" spans="5:11" ht="18.75" x14ac:dyDescent="0.4">
      <c r="E9" s="5" t="s">
        <v>222</v>
      </c>
      <c r="F9" s="119">
        <v>2</v>
      </c>
      <c r="G9" s="167">
        <v>19000000</v>
      </c>
      <c r="H9" s="167">
        <f t="shared" si="0"/>
        <v>38000000</v>
      </c>
      <c r="I9" s="179">
        <v>4</v>
      </c>
      <c r="J9" s="167">
        <f t="shared" si="1"/>
        <v>9500000</v>
      </c>
      <c r="K9" s="168">
        <f t="shared" si="2"/>
        <v>0</v>
      </c>
    </row>
    <row r="10" spans="5:11" ht="18.75" x14ac:dyDescent="0.4">
      <c r="E10" s="5" t="s">
        <v>223</v>
      </c>
      <c r="F10" s="119">
        <v>2</v>
      </c>
      <c r="G10" s="167">
        <v>19000000</v>
      </c>
      <c r="H10" s="167">
        <f t="shared" si="0"/>
        <v>38000000</v>
      </c>
      <c r="I10" s="179">
        <v>5</v>
      </c>
      <c r="J10" s="167">
        <f t="shared" si="1"/>
        <v>7600000</v>
      </c>
      <c r="K10" s="168">
        <f t="shared" si="2"/>
        <v>7600000</v>
      </c>
    </row>
    <row r="11" spans="5:11" ht="18.75" x14ac:dyDescent="0.4">
      <c r="E11" s="5" t="s">
        <v>230</v>
      </c>
      <c r="F11" s="119">
        <v>1</v>
      </c>
      <c r="G11" s="167">
        <v>10863000</v>
      </c>
      <c r="H11" s="167">
        <f t="shared" si="0"/>
        <v>10863000</v>
      </c>
      <c r="I11" s="179">
        <v>4</v>
      </c>
      <c r="J11" s="167">
        <f t="shared" si="1"/>
        <v>2715750</v>
      </c>
      <c r="K11" s="168">
        <f t="shared" si="2"/>
        <v>0</v>
      </c>
    </row>
    <row r="12" spans="5:11" s="21" customFormat="1" ht="18.75" x14ac:dyDescent="0.4">
      <c r="E12" s="5" t="s">
        <v>231</v>
      </c>
      <c r="F12" s="119">
        <v>1</v>
      </c>
      <c r="G12" s="167">
        <v>795500</v>
      </c>
      <c r="H12" s="167">
        <f t="shared" si="0"/>
        <v>795500</v>
      </c>
      <c r="I12" s="179">
        <v>4</v>
      </c>
      <c r="J12" s="167">
        <f t="shared" si="1"/>
        <v>198875</v>
      </c>
      <c r="K12" s="168">
        <f t="shared" si="2"/>
        <v>0</v>
      </c>
    </row>
    <row r="13" spans="5:11" s="21" customFormat="1" ht="18.75" x14ac:dyDescent="0.4">
      <c r="E13" s="5" t="s">
        <v>234</v>
      </c>
      <c r="F13" s="119">
        <v>8</v>
      </c>
      <c r="G13" s="167">
        <f>H13/F13</f>
        <v>1237825</v>
      </c>
      <c r="H13" s="167">
        <v>9902600</v>
      </c>
      <c r="I13" s="179">
        <v>4</v>
      </c>
      <c r="J13" s="167">
        <f t="shared" si="1"/>
        <v>2475650</v>
      </c>
      <c r="K13" s="168">
        <f t="shared" si="2"/>
        <v>0</v>
      </c>
    </row>
    <row r="14" spans="5:11" s="21" customFormat="1" ht="18.75" x14ac:dyDescent="0.4">
      <c r="E14" s="5" t="s">
        <v>235</v>
      </c>
      <c r="F14" s="119">
        <v>1</v>
      </c>
      <c r="G14" s="167">
        <v>9762500</v>
      </c>
      <c r="H14" s="167">
        <v>9762500</v>
      </c>
      <c r="I14" s="179">
        <v>4</v>
      </c>
      <c r="J14" s="167">
        <f t="shared" si="1"/>
        <v>2440625</v>
      </c>
      <c r="K14" s="168">
        <f t="shared" si="2"/>
        <v>0</v>
      </c>
    </row>
    <row r="15" spans="5:11" ht="19.5" thickBot="1" x14ac:dyDescent="0.45">
      <c r="E15" s="123" t="s">
        <v>65</v>
      </c>
      <c r="F15" s="177"/>
      <c r="G15" s="177"/>
      <c r="H15" s="171">
        <f>SUM(H4:H14)</f>
        <v>455823600</v>
      </c>
      <c r="I15" s="171"/>
      <c r="J15" s="171">
        <f>SUM(J4:J14)</f>
        <v>101430900</v>
      </c>
      <c r="K15" s="172">
        <f>SUM(K4:K14)</f>
        <v>50100000</v>
      </c>
    </row>
    <row r="16" spans="5:11" ht="19.5" thickBot="1" x14ac:dyDescent="0.45">
      <c r="E16" s="178" t="s">
        <v>66</v>
      </c>
      <c r="F16" s="24" t="s">
        <v>67</v>
      </c>
    </row>
    <row r="20" spans="5:11" ht="15.75" thickBot="1" x14ac:dyDescent="0.3"/>
    <row r="21" spans="5:11" ht="19.5" thickBot="1" x14ac:dyDescent="0.45">
      <c r="E21" s="235"/>
      <c r="F21" s="236"/>
      <c r="G21" s="236"/>
      <c r="H21" s="236"/>
      <c r="I21" s="236"/>
      <c r="J21" s="236"/>
      <c r="K21" s="237"/>
    </row>
    <row r="22" spans="5:11" s="21" customFormat="1" ht="18.75" x14ac:dyDescent="0.4">
      <c r="E22" s="57"/>
      <c r="F22" s="58"/>
      <c r="G22" s="58"/>
      <c r="H22" s="58"/>
      <c r="I22" s="58"/>
      <c r="J22" s="58"/>
      <c r="K22" s="59"/>
    </row>
    <row r="23" spans="5:11" ht="18.75" x14ac:dyDescent="0.4">
      <c r="E23" s="5"/>
      <c r="F23" s="4"/>
      <c r="G23" s="4"/>
      <c r="H23" s="4"/>
      <c r="I23" s="4"/>
      <c r="J23" s="4"/>
      <c r="K23" s="28"/>
    </row>
    <row r="24" spans="5:11" ht="19.5" thickBot="1" x14ac:dyDescent="0.45">
      <c r="E24" s="30"/>
      <c r="F24" s="31"/>
      <c r="G24" s="31"/>
      <c r="H24" s="31"/>
      <c r="I24" s="31"/>
      <c r="J24" s="31"/>
      <c r="K24" s="32"/>
    </row>
  </sheetData>
  <mergeCells count="2">
    <mergeCell ref="E2:K2"/>
    <mergeCell ref="E21:K2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2"/>
  <sheetViews>
    <sheetView zoomScale="90" zoomScaleNormal="90" workbookViewId="0">
      <selection activeCell="F34" sqref="F34"/>
    </sheetView>
  </sheetViews>
  <sheetFormatPr baseColWidth="10" defaultRowHeight="15" x14ac:dyDescent="0.25"/>
  <cols>
    <col min="2" max="2" width="21.5703125" customWidth="1"/>
    <col min="6" max="6" width="31.42578125" customWidth="1"/>
    <col min="7" max="7" width="21.5703125" customWidth="1"/>
    <col min="8" max="8" width="33.7109375" customWidth="1"/>
    <col min="9" max="9" width="36.28515625" customWidth="1"/>
    <col min="10" max="10" width="27.28515625" customWidth="1"/>
  </cols>
  <sheetData>
    <row r="1" spans="6:10" ht="15.75" thickBot="1" x14ac:dyDescent="0.3"/>
    <row r="2" spans="6:10" ht="19.5" thickBot="1" x14ac:dyDescent="0.45">
      <c r="F2" s="238" t="s">
        <v>68</v>
      </c>
      <c r="G2" s="239"/>
    </row>
    <row r="3" spans="6:10" ht="18.75" x14ac:dyDescent="0.4">
      <c r="F3" s="20" t="s">
        <v>69</v>
      </c>
      <c r="G3" s="18">
        <f>INVERSION!H15*0.5</f>
        <v>227911800</v>
      </c>
    </row>
    <row r="4" spans="6:10" ht="18.75" x14ac:dyDescent="0.4">
      <c r="F4" s="5" t="s">
        <v>70</v>
      </c>
      <c r="G4" s="38">
        <v>0.5</v>
      </c>
    </row>
    <row r="5" spans="6:10" ht="18.75" x14ac:dyDescent="0.4">
      <c r="F5" s="5" t="s">
        <v>71</v>
      </c>
      <c r="G5" s="39" t="s">
        <v>73</v>
      </c>
    </row>
    <row r="6" spans="6:10" ht="19.5" thickBot="1" x14ac:dyDescent="0.45">
      <c r="F6" s="6" t="s">
        <v>72</v>
      </c>
      <c r="G6" s="40">
        <v>0.28889999999999999</v>
      </c>
    </row>
    <row r="8" spans="6:10" ht="15.75" thickBot="1" x14ac:dyDescent="0.3"/>
    <row r="9" spans="6:10" ht="18.75" x14ac:dyDescent="0.4">
      <c r="F9" s="238" t="s">
        <v>74</v>
      </c>
      <c r="G9" s="240"/>
      <c r="H9" s="240"/>
      <c r="I9" s="240"/>
      <c r="J9" s="239"/>
    </row>
    <row r="10" spans="6:10" ht="18.75" x14ac:dyDescent="0.4">
      <c r="F10" s="41" t="s">
        <v>75</v>
      </c>
      <c r="G10" s="41" t="s">
        <v>76</v>
      </c>
      <c r="H10" s="41" t="s">
        <v>77</v>
      </c>
      <c r="I10" s="41" t="s">
        <v>78</v>
      </c>
      <c r="J10" s="41" t="s">
        <v>79</v>
      </c>
    </row>
    <row r="11" spans="6:10" ht="18.75" x14ac:dyDescent="0.4">
      <c r="F11" s="41">
        <v>0</v>
      </c>
      <c r="G11" s="41">
        <f>G3</f>
        <v>227911800</v>
      </c>
      <c r="H11" s="41">
        <v>0</v>
      </c>
      <c r="I11" s="41">
        <v>0</v>
      </c>
      <c r="J11" s="41">
        <v>0</v>
      </c>
    </row>
    <row r="12" spans="6:10" ht="18.75" x14ac:dyDescent="0.4">
      <c r="F12" s="41">
        <v>1</v>
      </c>
      <c r="G12" s="41">
        <f>G11*0.75</f>
        <v>170933850</v>
      </c>
      <c r="H12" s="41">
        <f>G11*G6</f>
        <v>65843719.019999996</v>
      </c>
      <c r="I12" s="41">
        <f>G11/4</f>
        <v>56977950</v>
      </c>
      <c r="J12" s="41">
        <f>I12+H12</f>
        <v>122821669.02</v>
      </c>
    </row>
    <row r="13" spans="6:10" ht="18.75" x14ac:dyDescent="0.4">
      <c r="F13" s="41">
        <v>2</v>
      </c>
      <c r="G13" s="41">
        <f>G11*0.5</f>
        <v>113955900</v>
      </c>
      <c r="H13" s="41">
        <f>G12*G6</f>
        <v>49382789.265000001</v>
      </c>
      <c r="I13" s="41">
        <f t="shared" ref="I13:I15" si="0">$G$11/4</f>
        <v>56977950</v>
      </c>
      <c r="J13" s="41">
        <f>I13+H13</f>
        <v>106360739.265</v>
      </c>
    </row>
    <row r="14" spans="6:10" ht="18.75" x14ac:dyDescent="0.4">
      <c r="F14" s="41">
        <v>3</v>
      </c>
      <c r="G14" s="41">
        <f>G11*0.25</f>
        <v>56977950</v>
      </c>
      <c r="H14" s="41">
        <f>G13*G6</f>
        <v>32921859.509999998</v>
      </c>
      <c r="I14" s="41">
        <f t="shared" si="0"/>
        <v>56977950</v>
      </c>
      <c r="J14" s="41">
        <f>I14+H14</f>
        <v>89899809.50999999</v>
      </c>
    </row>
    <row r="15" spans="6:10" ht="18.75" x14ac:dyDescent="0.4">
      <c r="F15" s="41">
        <v>4</v>
      </c>
      <c r="G15" s="41">
        <v>0</v>
      </c>
      <c r="H15" s="41">
        <f>G14*G6</f>
        <v>16460929.754999999</v>
      </c>
      <c r="I15" s="41">
        <f t="shared" si="0"/>
        <v>56977950</v>
      </c>
      <c r="J15" s="41">
        <f>I15+H15</f>
        <v>73438879.754999995</v>
      </c>
    </row>
    <row r="16" spans="6:10" ht="19.5" thickBot="1" x14ac:dyDescent="0.45">
      <c r="F16" s="41">
        <v>5</v>
      </c>
      <c r="G16" s="103"/>
      <c r="H16" s="103"/>
      <c r="I16" s="103"/>
      <c r="J16" s="41"/>
    </row>
    <row r="17" spans="2:10" ht="19.5" thickBot="1" x14ac:dyDescent="0.45">
      <c r="B17" s="241" t="s">
        <v>80</v>
      </c>
      <c r="C17" s="242"/>
      <c r="E17" s="243" t="s">
        <v>85</v>
      </c>
      <c r="F17" s="244"/>
      <c r="G17" s="244"/>
      <c r="H17" s="244"/>
      <c r="I17" s="244"/>
      <c r="J17" s="245"/>
    </row>
    <row r="18" spans="2:10" ht="18.75" x14ac:dyDescent="0.4">
      <c r="B18" s="13" t="s">
        <v>81</v>
      </c>
      <c r="C18" s="45">
        <v>7.0000000000000007E-2</v>
      </c>
      <c r="E18" s="42" t="s">
        <v>86</v>
      </c>
      <c r="F18" s="41" t="s">
        <v>87</v>
      </c>
      <c r="G18" s="41" t="s">
        <v>2</v>
      </c>
      <c r="H18" s="41" t="s">
        <v>88</v>
      </c>
      <c r="I18" s="41" t="s">
        <v>89</v>
      </c>
      <c r="J18" s="39" t="s">
        <v>90</v>
      </c>
    </row>
    <row r="19" spans="2:10" ht="18.75" x14ac:dyDescent="0.4">
      <c r="B19" s="5" t="s">
        <v>82</v>
      </c>
      <c r="C19" s="46">
        <v>6.9800000000000001E-2</v>
      </c>
      <c r="E19" s="42" t="s">
        <v>91</v>
      </c>
      <c r="F19" s="41">
        <f>(INVERSION!H15+INVERSION!G23)*0.5</f>
        <v>227911800</v>
      </c>
      <c r="G19" s="49">
        <v>0.5</v>
      </c>
      <c r="H19" s="50">
        <f>C22</f>
        <v>0.15000000000000002</v>
      </c>
      <c r="I19" s="50">
        <v>0.13009999999999999</v>
      </c>
      <c r="J19" s="51">
        <f>G19*I19</f>
        <v>6.5049999999999997E-2</v>
      </c>
    </row>
    <row r="20" spans="2:10" ht="18.75" x14ac:dyDescent="0.4">
      <c r="B20" s="5" t="s">
        <v>83</v>
      </c>
      <c r="C20" s="47">
        <v>0.05</v>
      </c>
      <c r="E20" s="42" t="s">
        <v>68</v>
      </c>
      <c r="F20" s="41">
        <f>(INVERSION!H15+INVERSION!H24)*0.5</f>
        <v>227911800</v>
      </c>
      <c r="G20" s="49">
        <v>0.5</v>
      </c>
      <c r="H20" s="49">
        <f>G6</f>
        <v>0.28889999999999999</v>
      </c>
      <c r="I20" s="50">
        <f>H20*(1-0.34)</f>
        <v>0.19067399999999998</v>
      </c>
      <c r="J20" s="51">
        <f>G20*I20</f>
        <v>9.5336999999999991E-2</v>
      </c>
    </row>
    <row r="21" spans="2:10" ht="19.5" thickBot="1" x14ac:dyDescent="0.45">
      <c r="B21" s="5" t="s">
        <v>84</v>
      </c>
      <c r="C21" s="47">
        <v>0.03</v>
      </c>
      <c r="E21" s="43" t="s">
        <v>27</v>
      </c>
      <c r="F21" s="44">
        <f>F19+F20</f>
        <v>455823600</v>
      </c>
      <c r="G21" s="52">
        <v>1</v>
      </c>
      <c r="H21" s="53">
        <f>SUM(H19:H20)</f>
        <v>0.43890000000000001</v>
      </c>
      <c r="I21" s="54">
        <f>SUM(I19:I20)</f>
        <v>0.320774</v>
      </c>
      <c r="J21" s="55">
        <f>SUM(J19:J20)</f>
        <v>0.160387</v>
      </c>
    </row>
    <row r="22" spans="2:10" ht="19.5" thickBot="1" x14ac:dyDescent="0.45">
      <c r="B22" s="6" t="s">
        <v>80</v>
      </c>
      <c r="C22" s="48">
        <f>C18+C20+C21</f>
        <v>0.15000000000000002</v>
      </c>
      <c r="I22" s="25" t="s">
        <v>85</v>
      </c>
      <c r="J22" s="56">
        <f>J21</f>
        <v>0.160387</v>
      </c>
    </row>
  </sheetData>
  <mergeCells count="4">
    <mergeCell ref="F2:G2"/>
    <mergeCell ref="F9:J9"/>
    <mergeCell ref="B17:C17"/>
    <mergeCell ref="E17:J17"/>
  </mergeCells>
  <pageMargins left="0.7" right="0.7" top="0.75" bottom="0.75" header="0.3" footer="0.3"/>
  <pageSetup paperSize="0" orientation="portrait" horizontalDpi="0" verticalDpi="0" copie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Q27"/>
  <sheetViews>
    <sheetView zoomScale="79" zoomScaleNormal="79" workbookViewId="0">
      <selection activeCell="P33" sqref="P33"/>
    </sheetView>
  </sheetViews>
  <sheetFormatPr baseColWidth="10" defaultRowHeight="15" x14ac:dyDescent="0.25"/>
  <cols>
    <col min="5" max="5" width="34.140625" customWidth="1"/>
    <col min="6" max="6" width="24" bestFit="1" customWidth="1"/>
    <col min="7" max="9" width="23.42578125" bestFit="1" customWidth="1"/>
    <col min="10" max="10" width="23" customWidth="1"/>
    <col min="12" max="12" width="34.140625" customWidth="1"/>
    <col min="13" max="13" width="15.42578125" customWidth="1"/>
    <col min="14" max="14" width="17" customWidth="1"/>
    <col min="15" max="15" width="18.42578125" customWidth="1"/>
    <col min="16" max="16" width="17.140625" customWidth="1"/>
    <col min="17" max="17" width="18.28515625" customWidth="1"/>
  </cols>
  <sheetData>
    <row r="1" spans="5:17" ht="15.75" thickBot="1" x14ac:dyDescent="0.3"/>
    <row r="2" spans="5:17" ht="18.75" x14ac:dyDescent="0.4">
      <c r="E2" s="229" t="s">
        <v>239</v>
      </c>
      <c r="F2" s="230"/>
      <c r="G2" s="230"/>
      <c r="H2" s="230"/>
      <c r="I2" s="230"/>
      <c r="J2" s="231"/>
      <c r="L2" s="229" t="s">
        <v>119</v>
      </c>
      <c r="M2" s="230"/>
      <c r="N2" s="230"/>
      <c r="O2" s="230"/>
      <c r="P2" s="230"/>
      <c r="Q2" s="231"/>
    </row>
    <row r="3" spans="5:17" s="21" customFormat="1" ht="18.75" x14ac:dyDescent="0.4">
      <c r="E3" s="181" t="s">
        <v>113</v>
      </c>
      <c r="F3" s="41">
        <v>0</v>
      </c>
      <c r="G3" s="41">
        <v>1</v>
      </c>
      <c r="H3" s="41">
        <v>2</v>
      </c>
      <c r="I3" s="41">
        <v>3</v>
      </c>
      <c r="J3" s="39">
        <v>4</v>
      </c>
      <c r="L3" s="275" t="s">
        <v>113</v>
      </c>
      <c r="M3" s="276">
        <v>0</v>
      </c>
      <c r="N3" s="276">
        <v>1</v>
      </c>
      <c r="O3" s="276">
        <v>2</v>
      </c>
      <c r="P3" s="276">
        <v>3</v>
      </c>
      <c r="Q3" s="276">
        <v>4</v>
      </c>
    </row>
    <row r="4" spans="5:17" ht="18.75" x14ac:dyDescent="0.4">
      <c r="E4" s="182" t="s">
        <v>92</v>
      </c>
      <c r="F4" s="180"/>
      <c r="G4" s="180">
        <f>INGRESOS!F8</f>
        <v>367056000</v>
      </c>
      <c r="H4" s="180">
        <f>INGRESOS!G8</f>
        <v>436128598.07999998</v>
      </c>
      <c r="I4" s="180">
        <f>INGRESOS!H8</f>
        <v>518199277.6666944</v>
      </c>
      <c r="J4" s="183">
        <f>INGRESOS!I8</f>
        <v>615714017.73801291</v>
      </c>
      <c r="L4" s="277" t="s">
        <v>92</v>
      </c>
      <c r="M4" s="278"/>
      <c r="N4" s="278">
        <v>1728628000</v>
      </c>
      <c r="O4" s="278">
        <v>2638040000</v>
      </c>
      <c r="P4" s="278">
        <f>I4</f>
        <v>518199277.6666944</v>
      </c>
      <c r="Q4" s="278">
        <f>INGRESOS!I8</f>
        <v>615714017.73801291</v>
      </c>
    </row>
    <row r="5" spans="5:17" ht="18.75" x14ac:dyDescent="0.4">
      <c r="E5" s="5" t="s">
        <v>93</v>
      </c>
      <c r="F5" s="167"/>
      <c r="G5" s="167">
        <f>COSTOS!C36</f>
        <v>111035343.97558337</v>
      </c>
      <c r="H5" s="167">
        <f>COSTOS!D36</f>
        <v>117584388.61070287</v>
      </c>
      <c r="I5" s="167">
        <f>COSTOS!E36</f>
        <v>124538851.04123802</v>
      </c>
      <c r="J5" s="168">
        <f>COSTOS!F36</f>
        <v>131916303.60329992</v>
      </c>
      <c r="L5" s="119" t="s">
        <v>93</v>
      </c>
      <c r="M5" s="119"/>
      <c r="N5" s="119">
        <v>641342940</v>
      </c>
      <c r="O5" s="119">
        <v>883884716.79999995</v>
      </c>
      <c r="P5" s="119">
        <v>1228923874</v>
      </c>
      <c r="Q5" s="119">
        <v>1447523400</v>
      </c>
    </row>
    <row r="6" spans="5:17" ht="18.75" x14ac:dyDescent="0.4">
      <c r="E6" s="63" t="s">
        <v>94</v>
      </c>
      <c r="F6" s="167"/>
      <c r="G6" s="167">
        <f>G4-G5</f>
        <v>256020656.02441663</v>
      </c>
      <c r="H6" s="167">
        <f t="shared" ref="H6:J6" si="0">H4-H5</f>
        <v>318544209.46929711</v>
      </c>
      <c r="I6" s="167">
        <f t="shared" si="0"/>
        <v>393660426.62545639</v>
      </c>
      <c r="J6" s="168">
        <f t="shared" si="0"/>
        <v>483797714.13471299</v>
      </c>
      <c r="L6" s="279" t="s">
        <v>94</v>
      </c>
      <c r="M6" s="119"/>
      <c r="N6" s="119">
        <f>N4-N5</f>
        <v>1087285060</v>
      </c>
      <c r="O6" s="119">
        <f t="shared" ref="O6:Q6" si="1">O4-O5</f>
        <v>1754155283.2</v>
      </c>
      <c r="P6" s="119">
        <f t="shared" si="1"/>
        <v>-710724596.3333056</v>
      </c>
      <c r="Q6" s="119">
        <f t="shared" si="1"/>
        <v>-831809382.26198709</v>
      </c>
    </row>
    <row r="7" spans="5:17" ht="18.75" x14ac:dyDescent="0.4">
      <c r="E7" s="5" t="s">
        <v>95</v>
      </c>
      <c r="F7" s="167"/>
      <c r="G7" s="167">
        <f>'GASTOS OPERATIVOS'!E12</f>
        <v>133149617.70926827</v>
      </c>
      <c r="H7" s="167">
        <f>'GASTOS OPERATIVOS'!F12</f>
        <v>139803798.59473166</v>
      </c>
      <c r="I7" s="167">
        <f>'GASTOS OPERATIVOS'!G12</f>
        <v>146791041.20446828</v>
      </c>
      <c r="J7" s="168">
        <f>'GASTOS OPERATIVOS'!H12</f>
        <v>154128037.55408368</v>
      </c>
      <c r="L7" s="119" t="s">
        <v>95</v>
      </c>
      <c r="M7" s="119"/>
      <c r="N7" s="119">
        <v>100530563</v>
      </c>
      <c r="O7" s="119">
        <v>105523811.2</v>
      </c>
      <c r="P7" s="119">
        <v>110765909.7</v>
      </c>
      <c r="Q7" s="119">
        <v>116269281.3</v>
      </c>
    </row>
    <row r="8" spans="5:17" ht="18.75" x14ac:dyDescent="0.4">
      <c r="E8" s="5" t="s">
        <v>96</v>
      </c>
      <c r="F8" s="167"/>
      <c r="G8" s="167">
        <f>'GASTOS OPERATIVOS'!E21</f>
        <v>33800000</v>
      </c>
      <c r="H8" s="167">
        <f>'GASTOS OPERATIVOS'!F21</f>
        <v>36166000</v>
      </c>
      <c r="I8" s="167">
        <f>'GASTOS OPERATIVOS'!G21</f>
        <v>38697620</v>
      </c>
      <c r="J8" s="168">
        <f>'GASTOS OPERATIVOS'!H21</f>
        <v>41406453.400000006</v>
      </c>
      <c r="L8" s="119" t="s">
        <v>96</v>
      </c>
      <c r="M8" s="119"/>
      <c r="N8" s="119">
        <v>48600000</v>
      </c>
      <c r="O8" s="119">
        <v>49785840</v>
      </c>
      <c r="P8" s="119">
        <v>51000614.5</v>
      </c>
      <c r="Q8" s="119">
        <v>52245029.490000002</v>
      </c>
    </row>
    <row r="9" spans="5:17" ht="18.75" x14ac:dyDescent="0.4">
      <c r="E9" s="5" t="s">
        <v>97</v>
      </c>
      <c r="F9" s="167"/>
      <c r="G9" s="167">
        <f>INVERSION!J15</f>
        <v>101430900</v>
      </c>
      <c r="H9" s="167">
        <f>G9</f>
        <v>101430900</v>
      </c>
      <c r="I9" s="167">
        <f t="shared" ref="I9:J9" si="2">H9</f>
        <v>101430900</v>
      </c>
      <c r="J9" s="168">
        <f t="shared" si="2"/>
        <v>101430900</v>
      </c>
      <c r="L9" s="119" t="s">
        <v>97</v>
      </c>
      <c r="M9" s="119"/>
      <c r="N9" s="119">
        <f>INVERSION!J15</f>
        <v>101430900</v>
      </c>
      <c r="O9" s="119">
        <f>N9</f>
        <v>101430900</v>
      </c>
      <c r="P9" s="119">
        <f t="shared" ref="P9:Q9" si="3">O9</f>
        <v>101430900</v>
      </c>
      <c r="Q9" s="119">
        <f t="shared" si="3"/>
        <v>101430900</v>
      </c>
    </row>
    <row r="10" spans="5:17" ht="18.75" x14ac:dyDescent="0.4">
      <c r="E10" s="5" t="s">
        <v>98</v>
      </c>
      <c r="F10" s="167"/>
      <c r="G10" s="167">
        <f>INVERSION!$G$24/4</f>
        <v>0</v>
      </c>
      <c r="H10" s="167">
        <f>INVERSION!$G$24/4</f>
        <v>0</v>
      </c>
      <c r="I10" s="167">
        <f>INVERSION!$G$24/4</f>
        <v>0</v>
      </c>
      <c r="J10" s="168">
        <f>INVERSION!$G$24/4</f>
        <v>0</v>
      </c>
      <c r="L10" s="119" t="s">
        <v>98</v>
      </c>
      <c r="M10" s="119"/>
      <c r="N10" s="119">
        <f>INVERSION!$G$24/4</f>
        <v>0</v>
      </c>
      <c r="O10" s="119">
        <f>INVERSION!$G$24/4</f>
        <v>0</v>
      </c>
      <c r="P10" s="119">
        <f>INVERSION!$G$24/4</f>
        <v>0</v>
      </c>
      <c r="Q10" s="119">
        <f>INVERSION!$G$24/4</f>
        <v>0</v>
      </c>
    </row>
    <row r="11" spans="5:17" ht="18.75" x14ac:dyDescent="0.4">
      <c r="E11" s="63" t="s">
        <v>99</v>
      </c>
      <c r="F11" s="167"/>
      <c r="G11" s="167">
        <f>G6-G7-G8-G9</f>
        <v>-12359861.684851646</v>
      </c>
      <c r="H11" s="167">
        <f t="shared" ref="H11:J11" si="4">H6-H7-H8-H9-H10</f>
        <v>41143510.874565452</v>
      </c>
      <c r="I11" s="167">
        <f t="shared" si="4"/>
        <v>106740865.42098811</v>
      </c>
      <c r="J11" s="168">
        <f t="shared" si="4"/>
        <v>186832323.18062937</v>
      </c>
      <c r="L11" s="279" t="s">
        <v>99</v>
      </c>
      <c r="M11" s="119"/>
      <c r="N11" s="119">
        <f>N6-N7-N8-N9-N10</f>
        <v>836723597</v>
      </c>
      <c r="O11" s="119">
        <f t="shared" ref="O11:Q11" si="5">O6-O7-O8-O9-O10</f>
        <v>1497414732</v>
      </c>
      <c r="P11" s="119">
        <f t="shared" si="5"/>
        <v>-973922020.53330564</v>
      </c>
      <c r="Q11" s="119">
        <f t="shared" si="5"/>
        <v>-1101754593.0519872</v>
      </c>
    </row>
    <row r="12" spans="5:17" ht="18.75" x14ac:dyDescent="0.4">
      <c r="E12" s="5" t="s">
        <v>100</v>
      </c>
      <c r="F12" s="167"/>
      <c r="G12" s="167"/>
      <c r="H12" s="167"/>
      <c r="I12" s="167"/>
      <c r="J12" s="168"/>
      <c r="L12" s="119" t="s">
        <v>100</v>
      </c>
      <c r="M12" s="119"/>
      <c r="N12" s="119"/>
      <c r="O12" s="119"/>
      <c r="P12" s="119"/>
      <c r="Q12" s="119">
        <v>11880600</v>
      </c>
    </row>
    <row r="13" spans="5:17" ht="18.75" x14ac:dyDescent="0.4">
      <c r="E13" s="5" t="s">
        <v>101</v>
      </c>
      <c r="F13" s="167"/>
      <c r="G13" s="167"/>
      <c r="H13" s="167"/>
      <c r="I13" s="167"/>
      <c r="J13" s="168"/>
      <c r="L13" s="119" t="s">
        <v>101</v>
      </c>
      <c r="M13" s="119"/>
      <c r="N13" s="119"/>
      <c r="O13" s="119"/>
      <c r="P13" s="119"/>
      <c r="Q13" s="119"/>
    </row>
    <row r="14" spans="5:17" ht="18.75" x14ac:dyDescent="0.4">
      <c r="E14" s="63" t="s">
        <v>102</v>
      </c>
      <c r="F14" s="167"/>
      <c r="G14" s="167">
        <f>G11-G13+G12</f>
        <v>-12359861.684851646</v>
      </c>
      <c r="H14" s="167">
        <f t="shared" ref="H14:J14" si="6">H11-H13+H12</f>
        <v>41143510.874565452</v>
      </c>
      <c r="I14" s="167">
        <f t="shared" si="6"/>
        <v>106740865.42098811</v>
      </c>
      <c r="J14" s="168">
        <f t="shared" si="6"/>
        <v>186832323.18062937</v>
      </c>
      <c r="L14" s="279" t="s">
        <v>102</v>
      </c>
      <c r="M14" s="119"/>
      <c r="N14" s="119">
        <f>N11-N13+N12</f>
        <v>836723597</v>
      </c>
      <c r="O14" s="119">
        <f t="shared" ref="O14:Q14" si="7">O11-O13+O12</f>
        <v>1497414732</v>
      </c>
      <c r="P14" s="119">
        <f t="shared" si="7"/>
        <v>-973922020.53330564</v>
      </c>
      <c r="Q14" s="119">
        <f t="shared" si="7"/>
        <v>-1089873993.0519872</v>
      </c>
    </row>
    <row r="15" spans="5:17" ht="18.75" x14ac:dyDescent="0.4">
      <c r="E15" s="5" t="s">
        <v>114</v>
      </c>
      <c r="F15" s="167"/>
      <c r="G15" s="167">
        <v>0</v>
      </c>
      <c r="H15" s="167">
        <f>H14*0.34</f>
        <v>13988793.697352255</v>
      </c>
      <c r="I15" s="167">
        <f>I14*0.34</f>
        <v>36291894.243135959</v>
      </c>
      <c r="J15" s="168">
        <f>J14*0.34</f>
        <v>63522989.881413989</v>
      </c>
      <c r="L15" s="119" t="s">
        <v>114</v>
      </c>
      <c r="M15" s="119"/>
      <c r="N15" s="119">
        <f>N14*0.34</f>
        <v>284486022.98000002</v>
      </c>
      <c r="O15" s="119">
        <f>O14*0.34</f>
        <v>509121008.88000005</v>
      </c>
      <c r="P15" s="119">
        <f>P14*0.34</f>
        <v>-331133486.98132396</v>
      </c>
      <c r="Q15" s="119">
        <f>Q14*0.34</f>
        <v>-370557157.63767564</v>
      </c>
    </row>
    <row r="16" spans="5:17" ht="18.75" x14ac:dyDescent="0.4">
      <c r="E16" s="63" t="s">
        <v>103</v>
      </c>
      <c r="F16" s="167"/>
      <c r="G16" s="167">
        <f>G14-G15</f>
        <v>-12359861.684851646</v>
      </c>
      <c r="H16" s="167">
        <f t="shared" ref="H16:J16" si="8">H14-H15</f>
        <v>27154717.177213199</v>
      </c>
      <c r="I16" s="167">
        <f t="shared" si="8"/>
        <v>70448971.177852154</v>
      </c>
      <c r="J16" s="168">
        <f t="shared" si="8"/>
        <v>123309333.29921538</v>
      </c>
      <c r="L16" s="279" t="s">
        <v>103</v>
      </c>
      <c r="M16" s="119"/>
      <c r="N16" s="119">
        <f>N14-N15</f>
        <v>552237574.01999998</v>
      </c>
      <c r="O16" s="119">
        <f t="shared" ref="O16:Q16" si="9">O14-O15</f>
        <v>988293723.11999989</v>
      </c>
      <c r="P16" s="119">
        <f t="shared" si="9"/>
        <v>-642788533.55198169</v>
      </c>
      <c r="Q16" s="119">
        <f t="shared" si="9"/>
        <v>-719316835.41431153</v>
      </c>
    </row>
    <row r="17" spans="5:17" ht="18.75" x14ac:dyDescent="0.4">
      <c r="E17" s="5" t="s">
        <v>97</v>
      </c>
      <c r="F17" s="167"/>
      <c r="G17" s="167">
        <f>N17</f>
        <v>101430900</v>
      </c>
      <c r="H17" s="167">
        <f>G17*2</f>
        <v>202861800</v>
      </c>
      <c r="I17" s="167">
        <f>G17*3</f>
        <v>304292700</v>
      </c>
      <c r="J17" s="168">
        <f>G17*4</f>
        <v>405723600</v>
      </c>
      <c r="L17" s="119" t="s">
        <v>97</v>
      </c>
      <c r="M17" s="119"/>
      <c r="N17" s="119">
        <f>N9</f>
        <v>101430900</v>
      </c>
      <c r="O17" s="119">
        <f>N17*2</f>
        <v>202861800</v>
      </c>
      <c r="P17" s="119">
        <f>N17*3</f>
        <v>304292700</v>
      </c>
      <c r="Q17" s="119">
        <f>N17*4</f>
        <v>405723600</v>
      </c>
    </row>
    <row r="18" spans="5:17" ht="18.75" x14ac:dyDescent="0.4">
      <c r="E18" s="5" t="s">
        <v>98</v>
      </c>
      <c r="F18" s="167"/>
      <c r="G18" s="167"/>
      <c r="H18" s="167"/>
      <c r="I18" s="167"/>
      <c r="J18" s="168"/>
      <c r="L18" s="119" t="s">
        <v>98</v>
      </c>
      <c r="M18" s="119"/>
      <c r="N18" s="119"/>
      <c r="O18" s="119"/>
      <c r="P18" s="119"/>
      <c r="Q18" s="119"/>
    </row>
    <row r="19" spans="5:17" ht="18.75" x14ac:dyDescent="0.4">
      <c r="E19" s="5" t="s">
        <v>104</v>
      </c>
      <c r="F19" s="167"/>
      <c r="G19" s="167"/>
      <c r="H19" s="167"/>
      <c r="I19" s="167"/>
      <c r="J19" s="168"/>
      <c r="L19" s="119" t="s">
        <v>104</v>
      </c>
      <c r="M19" s="119"/>
      <c r="N19" s="119">
        <f>'CREDITO Y TASAS'!H12</f>
        <v>65843719.019999996</v>
      </c>
      <c r="O19" s="119">
        <f>'CREDITO Y TASAS'!H13</f>
        <v>49382789.265000001</v>
      </c>
      <c r="P19" s="119">
        <f>'CREDITO Y TASAS'!H14</f>
        <v>32921859.509999998</v>
      </c>
      <c r="Q19" s="119">
        <f>'CREDITO Y TASAS'!H15</f>
        <v>16460929.754999999</v>
      </c>
    </row>
    <row r="20" spans="5:17" ht="18.75" x14ac:dyDescent="0.4">
      <c r="E20" s="5" t="s">
        <v>105</v>
      </c>
      <c r="F20" s="167"/>
      <c r="G20" s="167"/>
      <c r="H20" s="167"/>
      <c r="I20" s="167"/>
      <c r="J20" s="168"/>
      <c r="L20" s="119" t="s">
        <v>105</v>
      </c>
      <c r="M20" s="119"/>
      <c r="N20" s="119">
        <f>'CREDITO Y TASAS'!$I$12</f>
        <v>56977950</v>
      </c>
      <c r="O20" s="119">
        <f>'CREDITO Y TASAS'!$I$12</f>
        <v>56977950</v>
      </c>
      <c r="P20" s="119">
        <f>'CREDITO Y TASAS'!$I$12</f>
        <v>56977950</v>
      </c>
      <c r="Q20" s="119">
        <f>'CREDITO Y TASAS'!$I$12</f>
        <v>56977950</v>
      </c>
    </row>
    <row r="21" spans="5:17" ht="18.75" x14ac:dyDescent="0.4">
      <c r="E21" s="63" t="s">
        <v>106</v>
      </c>
      <c r="F21" s="167"/>
      <c r="G21" s="167">
        <f>G17</f>
        <v>101430900</v>
      </c>
      <c r="H21" s="167">
        <f t="shared" ref="H21:J21" si="10">H16+H17+H18+H19-H20</f>
        <v>230016517.17721319</v>
      </c>
      <c r="I21" s="167">
        <f t="shared" si="10"/>
        <v>374741671.17785215</v>
      </c>
      <c r="J21" s="168">
        <f t="shared" si="10"/>
        <v>529032933.29921538</v>
      </c>
      <c r="L21" s="279" t="s">
        <v>106</v>
      </c>
      <c r="M21" s="119"/>
      <c r="N21" s="119">
        <f>N16+N17+N18-N19-N20</f>
        <v>530846805</v>
      </c>
      <c r="O21" s="119">
        <f>O16+O17+O18-O19-O20</f>
        <v>1084794783.8549998</v>
      </c>
      <c r="P21" s="119">
        <f>P16+P17+P18-P19-P20</f>
        <v>-428395643.06198168</v>
      </c>
      <c r="Q21" s="119">
        <f>Q16+Q17+Q18-Q19-Q20</f>
        <v>-387032115.16931152</v>
      </c>
    </row>
    <row r="22" spans="5:17" ht="18.75" x14ac:dyDescent="0.4">
      <c r="E22" s="5" t="s">
        <v>107</v>
      </c>
      <c r="F22" s="167">
        <f>INVERSION!H15</f>
        <v>455823600</v>
      </c>
      <c r="G22" s="167"/>
      <c r="H22" s="167"/>
      <c r="I22" s="167"/>
      <c r="J22" s="168"/>
      <c r="L22" s="119" t="s">
        <v>107</v>
      </c>
      <c r="M22" s="119">
        <f>F22</f>
        <v>455823600</v>
      </c>
      <c r="N22" s="119"/>
      <c r="O22" s="119"/>
      <c r="P22" s="119"/>
      <c r="Q22" s="119"/>
    </row>
    <row r="23" spans="5:17" ht="18.75" x14ac:dyDescent="0.4">
      <c r="E23" s="5" t="s">
        <v>108</v>
      </c>
      <c r="F23" s="167">
        <f>INVERSION!H15</f>
        <v>455823600</v>
      </c>
      <c r="G23" s="167"/>
      <c r="H23" s="167"/>
      <c r="I23" s="167"/>
      <c r="J23" s="168"/>
      <c r="L23" s="119" t="s">
        <v>108</v>
      </c>
      <c r="M23" s="119">
        <f>F23</f>
        <v>455823600</v>
      </c>
      <c r="N23" s="119"/>
      <c r="O23" s="119"/>
      <c r="P23" s="119"/>
      <c r="Q23" s="119"/>
    </row>
    <row r="24" spans="5:17" ht="18.75" x14ac:dyDescent="0.4">
      <c r="E24" s="5" t="s">
        <v>109</v>
      </c>
      <c r="F24" s="167"/>
      <c r="G24" s="167"/>
      <c r="H24" s="167"/>
      <c r="I24" s="167"/>
      <c r="J24" s="168"/>
      <c r="L24" s="119" t="s">
        <v>109</v>
      </c>
      <c r="M24" s="119">
        <v>0</v>
      </c>
      <c r="N24" s="119"/>
      <c r="O24" s="119"/>
      <c r="P24" s="119"/>
      <c r="Q24" s="119"/>
    </row>
    <row r="25" spans="5:17" ht="18.75" x14ac:dyDescent="0.4">
      <c r="E25" s="5" t="s">
        <v>110</v>
      </c>
      <c r="F25" s="167">
        <f>'CAPITAL DE TRABAJO'!E8</f>
        <v>23165413.473737638</v>
      </c>
      <c r="G25" s="167">
        <f>'CAPITAL DE TRABAJO'!F8</f>
        <v>24462848.933786213</v>
      </c>
      <c r="H25" s="167">
        <f>'CAPITAL DE TRABAJO'!G8</f>
        <v>25835626.020475525</v>
      </c>
      <c r="I25" s="167">
        <f>'CAPITAL DE TRABAJO'!H8</f>
        <v>27287566.213115294</v>
      </c>
      <c r="J25" s="168">
        <f>'CAPITAL DE TRABAJO'!I9</f>
        <v>27287566.213115294</v>
      </c>
      <c r="L25" s="119" t="s">
        <v>110</v>
      </c>
      <c r="M25" s="119">
        <v>65872791.899999999</v>
      </c>
      <c r="N25" s="119">
        <v>8599530.6999999993</v>
      </c>
      <c r="O25" s="119">
        <v>115890866.5</v>
      </c>
      <c r="P25" s="119">
        <f>'CAPITAL DE TRABAJO'!H8</f>
        <v>27287566.213115294</v>
      </c>
      <c r="Q25" s="119">
        <v>134669809.30000001</v>
      </c>
    </row>
    <row r="26" spans="5:17" ht="18.75" x14ac:dyDescent="0.4">
      <c r="E26" s="63" t="s">
        <v>111</v>
      </c>
      <c r="F26" s="167">
        <f>F25+F24+F23</f>
        <v>478989013.47373766</v>
      </c>
      <c r="G26" s="167">
        <f>G25+G24+G23+G22</f>
        <v>24462848.933786213</v>
      </c>
      <c r="H26" s="167">
        <f t="shared" ref="H26:J26" si="11">H25+H24+H23+H22</f>
        <v>25835626.020475525</v>
      </c>
      <c r="I26" s="167">
        <f t="shared" si="11"/>
        <v>27287566.213115294</v>
      </c>
      <c r="J26" s="168">
        <f t="shared" si="11"/>
        <v>27287566.213115294</v>
      </c>
      <c r="L26" s="279" t="s">
        <v>111</v>
      </c>
      <c r="M26" s="119">
        <f>M25+M24+M23</f>
        <v>521696391.89999998</v>
      </c>
      <c r="N26" s="119">
        <f>N25+N24+N23+N22</f>
        <v>8599530.6999999993</v>
      </c>
      <c r="O26" s="119">
        <f t="shared" ref="O26:Q26" si="12">O25+O24+O23+O22</f>
        <v>115890866.5</v>
      </c>
      <c r="P26" s="119">
        <f t="shared" si="12"/>
        <v>27287566.213115294</v>
      </c>
      <c r="Q26" s="119">
        <f t="shared" si="12"/>
        <v>134669809.30000001</v>
      </c>
    </row>
    <row r="27" spans="5:17" ht="19.5" thickBot="1" x14ac:dyDescent="0.45">
      <c r="E27" s="184" t="s">
        <v>112</v>
      </c>
      <c r="F27" s="171">
        <f>-F26</f>
        <v>-478989013.47373766</v>
      </c>
      <c r="G27" s="171">
        <f>G21</f>
        <v>101430900</v>
      </c>
      <c r="H27" s="171">
        <f>H21</f>
        <v>230016517.17721319</v>
      </c>
      <c r="I27" s="171">
        <f>I21</f>
        <v>374741671.17785215</v>
      </c>
      <c r="J27" s="172">
        <f>J21</f>
        <v>529032933.29921538</v>
      </c>
      <c r="L27" s="273" t="s">
        <v>112</v>
      </c>
      <c r="M27" s="274">
        <f>-M26</f>
        <v>-521696391.89999998</v>
      </c>
      <c r="N27" s="274">
        <f>N21</f>
        <v>530846805</v>
      </c>
      <c r="O27" s="274">
        <f>O21</f>
        <v>1084794783.8549998</v>
      </c>
      <c r="P27" s="274">
        <f>P21</f>
        <v>-428395643.06198168</v>
      </c>
      <c r="Q27" s="274">
        <f>Q21</f>
        <v>-387032115.16931152</v>
      </c>
    </row>
  </sheetData>
  <mergeCells count="2">
    <mergeCell ref="E2:J2"/>
    <mergeCell ref="L2:Q2"/>
  </mergeCell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PROYECCION Y UNIDADES</vt:lpstr>
      <vt:lpstr>NOMINA</vt:lpstr>
      <vt:lpstr>COSTOS</vt:lpstr>
      <vt:lpstr>GASTOS OPERATIVOS</vt:lpstr>
      <vt:lpstr>INGRESOS</vt:lpstr>
      <vt:lpstr>CAPITAL DE TRABAJO</vt:lpstr>
      <vt:lpstr>INVERSION</vt:lpstr>
      <vt:lpstr>CREDITO Y TASAS</vt:lpstr>
      <vt:lpstr>FLUJO DE CAJA</vt:lpstr>
      <vt:lpstr>BALANCE CON Y SIN</vt:lpstr>
      <vt:lpstr>ER, CON Y SIN</vt:lpstr>
      <vt:lpstr>VPN,TIR,TIO,ZA,DF</vt:lpstr>
      <vt:lpstr>ANALISIS DE SENSIBILIDAD</vt:lpstr>
    </vt:vector>
  </TitlesOfParts>
  <Company>Martinez-corp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 Perlaza Martinez</dc:creator>
  <cp:lastModifiedBy>martinez</cp:lastModifiedBy>
  <dcterms:created xsi:type="dcterms:W3CDTF">2015-04-19T23:28:07Z</dcterms:created>
  <dcterms:modified xsi:type="dcterms:W3CDTF">2017-02-03T18:28:24Z</dcterms:modified>
</cp:coreProperties>
</file>